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4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5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ctrlProps/ctrlProp2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e.ac.uk\storage\LSEHEALTH\Primary\KANAVOS\FP7HTA2STAGECALL\IMPACT HTA\WP9\WP9_Deliverables\210629 IMPACT HTA_WP9_D9.1\"/>
    </mc:Choice>
  </mc:AlternateContent>
  <xr:revisionPtr revIDLastSave="0" documentId="13_ncr:1_{31218344-D4BD-4BEB-86DC-7C060326A82E}" xr6:coauthVersionLast="47" xr6:coauthVersionMax="47" xr10:uidLastSave="{00000000-0000-0000-0000-000000000000}"/>
  <bookViews>
    <workbookView showSheetTabs="0" xWindow="-120" yWindow="-120" windowWidth="20730" windowHeight="11160" xr2:uid="{00000000-000D-0000-FFFF-FFFF00000000}"/>
  </bookViews>
  <sheets>
    <sheet name="Home" sheetId="1" r:id="rId1"/>
    <sheet name="Description" sheetId="2" r:id="rId2"/>
    <sheet name="Population" sheetId="3" r:id="rId3"/>
    <sheet name="Costs" sheetId="9" r:id="rId4"/>
    <sheet name="Resource Use" sheetId="5" r:id="rId5"/>
    <sheet name="Results" sheetId="6" r:id="rId6"/>
    <sheet name="Determinist analysis" sheetId="7" r:id="rId7"/>
    <sheet name="Foglio1" sheetId="8" state="hidden" r:id="rId8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3" l="1"/>
  <c r="D34" i="3"/>
  <c r="D19" i="3"/>
  <c r="D7" i="6"/>
  <c r="E13" i="5"/>
  <c r="E7" i="6"/>
  <c r="F7" i="6"/>
  <c r="Z34" i="3"/>
  <c r="D10" i="3"/>
  <c r="D32" i="3"/>
  <c r="X107" i="7"/>
  <c r="D8" i="6"/>
  <c r="D22" i="7"/>
  <c r="E22" i="7"/>
  <c r="F22" i="7"/>
  <c r="G22" i="7"/>
  <c r="H22" i="7"/>
  <c r="I22" i="7"/>
  <c r="D9" i="6"/>
  <c r="D23" i="7"/>
  <c r="E23" i="7"/>
  <c r="F23" i="7"/>
  <c r="G23" i="7"/>
  <c r="H23" i="7"/>
  <c r="I23" i="7"/>
  <c r="D10" i="6"/>
  <c r="D24" i="7"/>
  <c r="E24" i="7"/>
  <c r="F24" i="7"/>
  <c r="G24" i="7"/>
  <c r="H24" i="7"/>
  <c r="I24" i="7"/>
  <c r="D11" i="6"/>
  <c r="D25" i="7"/>
  <c r="E25" i="7"/>
  <c r="F25" i="7"/>
  <c r="G25" i="7"/>
  <c r="H25" i="7"/>
  <c r="I25" i="7"/>
  <c r="D12" i="6"/>
  <c r="D26" i="7"/>
  <c r="E26" i="7"/>
  <c r="F26" i="7"/>
  <c r="G26" i="7"/>
  <c r="H26" i="7"/>
  <c r="I26" i="7"/>
  <c r="D13" i="6"/>
  <c r="D27" i="7"/>
  <c r="E27" i="7"/>
  <c r="F27" i="7"/>
  <c r="G27" i="7"/>
  <c r="H27" i="7"/>
  <c r="I27" i="7"/>
  <c r="D14" i="6"/>
  <c r="D28" i="7"/>
  <c r="E28" i="7"/>
  <c r="F28" i="7"/>
  <c r="G28" i="7"/>
  <c r="H28" i="7"/>
  <c r="I28" i="7"/>
  <c r="D15" i="6"/>
  <c r="D29" i="7"/>
  <c r="E29" i="7"/>
  <c r="F29" i="7"/>
  <c r="G29" i="7"/>
  <c r="H29" i="7"/>
  <c r="I29" i="7"/>
  <c r="D16" i="6"/>
  <c r="D30" i="7"/>
  <c r="E30" i="7"/>
  <c r="F30" i="7"/>
  <c r="G30" i="7"/>
  <c r="H30" i="7"/>
  <c r="I30" i="7"/>
  <c r="D17" i="6"/>
  <c r="D31" i="7"/>
  <c r="E31" i="7"/>
  <c r="F31" i="7"/>
  <c r="G31" i="7"/>
  <c r="H31" i="7"/>
  <c r="I31" i="7"/>
  <c r="D21" i="7"/>
  <c r="E21" i="7"/>
  <c r="F21" i="7"/>
  <c r="G21" i="7"/>
  <c r="H21" i="7"/>
  <c r="I21" i="7"/>
  <c r="C21" i="7"/>
  <c r="C22" i="7"/>
  <c r="C23" i="7"/>
  <c r="C24" i="7"/>
  <c r="C25" i="7"/>
  <c r="C26" i="7"/>
  <c r="C27" i="7"/>
  <c r="C28" i="7"/>
  <c r="C29" i="7"/>
  <c r="C30" i="7"/>
  <c r="C31" i="7"/>
  <c r="X5" i="7"/>
  <c r="X6" i="7"/>
  <c r="X7" i="7"/>
  <c r="X8" i="7"/>
  <c r="X9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27" i="7"/>
  <c r="X28" i="7"/>
  <c r="X29" i="7"/>
  <c r="X30" i="7"/>
  <c r="X31" i="7"/>
  <c r="X32" i="7"/>
  <c r="X33" i="7"/>
  <c r="X34" i="7"/>
  <c r="X35" i="7"/>
  <c r="X36" i="7"/>
  <c r="X37" i="7"/>
  <c r="X38" i="7"/>
  <c r="X39" i="7"/>
  <c r="X40" i="7"/>
  <c r="X41" i="7"/>
  <c r="X42" i="7"/>
  <c r="X43" i="7"/>
  <c r="X44" i="7"/>
  <c r="X45" i="7"/>
  <c r="X46" i="7"/>
  <c r="X47" i="7"/>
  <c r="X48" i="7"/>
  <c r="X49" i="7"/>
  <c r="X50" i="7"/>
  <c r="X51" i="7"/>
  <c r="X52" i="7"/>
  <c r="X53" i="7"/>
  <c r="X54" i="7"/>
  <c r="X55" i="7"/>
  <c r="X56" i="7"/>
  <c r="X57" i="7"/>
  <c r="X58" i="7"/>
  <c r="X59" i="7"/>
  <c r="X60" i="7"/>
  <c r="X61" i="7"/>
  <c r="X62" i="7"/>
  <c r="X63" i="7"/>
  <c r="X64" i="7"/>
  <c r="X65" i="7"/>
  <c r="X66" i="7"/>
  <c r="X67" i="7"/>
  <c r="X68" i="7"/>
  <c r="X69" i="7"/>
  <c r="X70" i="7"/>
  <c r="X71" i="7"/>
  <c r="X72" i="7"/>
  <c r="X73" i="7"/>
  <c r="X74" i="7"/>
  <c r="X75" i="7"/>
  <c r="X76" i="7"/>
  <c r="X77" i="7"/>
  <c r="X78" i="7"/>
  <c r="X79" i="7"/>
  <c r="X80" i="7"/>
  <c r="X81" i="7"/>
  <c r="X82" i="7"/>
  <c r="X83" i="7"/>
  <c r="X84" i="7"/>
  <c r="X85" i="7"/>
  <c r="X86" i="7"/>
  <c r="X87" i="7"/>
  <c r="X88" i="7"/>
  <c r="X89" i="7"/>
  <c r="X90" i="7"/>
  <c r="X91" i="7"/>
  <c r="X92" i="7"/>
  <c r="X93" i="7"/>
  <c r="X94" i="7"/>
  <c r="X95" i="7"/>
  <c r="X96" i="7"/>
  <c r="X97" i="7"/>
  <c r="X98" i="7"/>
  <c r="X99" i="7"/>
  <c r="X100" i="7"/>
  <c r="X101" i="7"/>
  <c r="X102" i="7"/>
  <c r="X103" i="7"/>
  <c r="X104" i="7"/>
  <c r="E9" i="6"/>
  <c r="F9" i="6"/>
  <c r="G9" i="6"/>
  <c r="E8" i="6"/>
  <c r="H8" i="6"/>
  <c r="H9" i="6"/>
  <c r="F8" i="6"/>
  <c r="I8" i="6"/>
  <c r="I9" i="6"/>
  <c r="E10" i="6"/>
  <c r="F10" i="6"/>
  <c r="G10" i="6"/>
  <c r="H10" i="6"/>
  <c r="I10" i="6"/>
  <c r="E11" i="6"/>
  <c r="F11" i="6"/>
  <c r="G11" i="6"/>
  <c r="H11" i="6"/>
  <c r="I11" i="6"/>
  <c r="E12" i="6"/>
  <c r="F12" i="6"/>
  <c r="G12" i="6"/>
  <c r="H12" i="6"/>
  <c r="I12" i="6"/>
  <c r="E13" i="6"/>
  <c r="F13" i="6"/>
  <c r="G13" i="6"/>
  <c r="H13" i="6"/>
  <c r="I13" i="6"/>
  <c r="E14" i="6"/>
  <c r="F14" i="6"/>
  <c r="G14" i="6"/>
  <c r="H14" i="6"/>
  <c r="I14" i="6"/>
  <c r="E15" i="6"/>
  <c r="F15" i="6"/>
  <c r="G15" i="6"/>
  <c r="H15" i="6"/>
  <c r="I15" i="6"/>
  <c r="E16" i="6"/>
  <c r="F16" i="6"/>
  <c r="G16" i="6"/>
  <c r="H16" i="6"/>
  <c r="I16" i="6"/>
  <c r="E17" i="6"/>
  <c r="F17" i="6"/>
  <c r="G17" i="6"/>
  <c r="H17" i="6"/>
  <c r="I17" i="6"/>
  <c r="G8" i="6"/>
  <c r="G7" i="6"/>
  <c r="C9" i="6"/>
  <c r="C10" i="6"/>
  <c r="C11" i="6"/>
  <c r="C12" i="6"/>
  <c r="C13" i="6"/>
  <c r="C14" i="6"/>
  <c r="C15" i="6"/>
  <c r="C16" i="6"/>
  <c r="C17" i="6"/>
  <c r="C8" i="6"/>
  <c r="C7" i="6"/>
  <c r="E20" i="5"/>
  <c r="E18" i="5"/>
  <c r="BC5" i="9"/>
  <c r="BC6" i="9"/>
  <c r="BC7" i="9"/>
  <c r="BC8" i="9"/>
  <c r="BC9" i="9"/>
  <c r="BC10" i="9"/>
  <c r="BC11" i="9"/>
  <c r="BC12" i="9"/>
  <c r="BC13" i="9"/>
  <c r="BC14" i="9"/>
  <c r="BC15" i="9"/>
  <c r="BC16" i="9"/>
  <c r="BC17" i="9"/>
  <c r="BC18" i="9"/>
  <c r="BC19" i="9"/>
  <c r="BC20" i="9"/>
  <c r="BC21" i="9"/>
  <c r="BC22" i="9"/>
  <c r="BC23" i="9"/>
  <c r="BC24" i="9"/>
  <c r="BC25" i="9"/>
  <c r="BC26" i="9"/>
  <c r="BC27" i="9"/>
  <c r="BC28" i="9"/>
  <c r="BC29" i="9"/>
  <c r="BC30" i="9"/>
  <c r="BC31" i="9"/>
  <c r="BC32" i="9"/>
  <c r="BC33" i="9"/>
  <c r="BC34" i="9"/>
  <c r="BC35" i="9"/>
  <c r="BC36" i="9"/>
  <c r="BC37" i="9"/>
  <c r="BC38" i="9"/>
  <c r="BC39" i="9"/>
  <c r="BC40" i="9"/>
  <c r="BC41" i="9"/>
  <c r="BC42" i="9"/>
  <c r="BC43" i="9"/>
  <c r="BC44" i="9"/>
  <c r="BC107" i="9"/>
  <c r="BC45" i="9"/>
  <c r="BC46" i="9"/>
  <c r="BC47" i="9"/>
  <c r="BC48" i="9"/>
  <c r="BC49" i="9"/>
  <c r="BC50" i="9"/>
  <c r="BC51" i="9"/>
  <c r="BC52" i="9"/>
  <c r="BC53" i="9"/>
  <c r="BC54" i="9"/>
  <c r="BC55" i="9"/>
  <c r="BC56" i="9"/>
  <c r="BC57" i="9"/>
  <c r="BC58" i="9"/>
  <c r="BC59" i="9"/>
  <c r="BC60" i="9"/>
  <c r="BC61" i="9"/>
  <c r="BC62" i="9"/>
  <c r="BC63" i="9"/>
  <c r="BC64" i="9"/>
  <c r="BC65" i="9"/>
  <c r="BC66" i="9"/>
  <c r="BC67" i="9"/>
  <c r="BC68" i="9"/>
  <c r="BC69" i="9"/>
  <c r="BC70" i="9"/>
  <c r="BC71" i="9"/>
  <c r="BC72" i="9"/>
  <c r="BC73" i="9"/>
  <c r="BC74" i="9"/>
  <c r="BC75" i="9"/>
  <c r="BC76" i="9"/>
  <c r="BC77" i="9"/>
  <c r="BC78" i="9"/>
  <c r="BC79" i="9"/>
  <c r="BC80" i="9"/>
  <c r="BC81" i="9"/>
  <c r="BC82" i="9"/>
  <c r="BC83" i="9"/>
  <c r="BC84" i="9"/>
  <c r="BC85" i="9"/>
  <c r="BC86" i="9"/>
  <c r="BC87" i="9"/>
  <c r="BC88" i="9"/>
  <c r="BC89" i="9"/>
  <c r="BC90" i="9"/>
  <c r="BC91" i="9"/>
  <c r="BC92" i="9"/>
  <c r="BC93" i="9"/>
  <c r="BC94" i="9"/>
  <c r="BC95" i="9"/>
  <c r="BC96" i="9"/>
  <c r="BC97" i="9"/>
  <c r="BC98" i="9"/>
  <c r="BC99" i="9"/>
  <c r="BC100" i="9"/>
  <c r="BC101" i="9"/>
  <c r="BC102" i="9"/>
  <c r="BC103" i="9"/>
  <c r="BC104" i="9"/>
  <c r="D37" i="9"/>
  <c r="D48" i="9"/>
  <c r="E8" i="5"/>
  <c r="D96" i="9"/>
  <c r="D94" i="9"/>
  <c r="D92" i="9"/>
  <c r="D86" i="9"/>
  <c r="D80" i="9"/>
  <c r="D72" i="9"/>
  <c r="D66" i="9"/>
  <c r="D60" i="9"/>
  <c r="D82" i="9"/>
  <c r="D46" i="9"/>
  <c r="D62" i="9"/>
  <c r="AT107" i="9"/>
  <c r="AZ5" i="9"/>
  <c r="AZ6" i="9"/>
  <c r="AZ7" i="9"/>
  <c r="AZ8" i="9"/>
  <c r="AZ9" i="9"/>
  <c r="AZ10" i="9"/>
  <c r="AZ11" i="9"/>
  <c r="AZ12" i="9"/>
  <c r="AZ13" i="9"/>
  <c r="AZ14" i="9"/>
  <c r="AZ15" i="9"/>
  <c r="AZ16" i="9"/>
  <c r="AZ17" i="9"/>
  <c r="AZ18" i="9"/>
  <c r="AZ19" i="9"/>
  <c r="AZ20" i="9"/>
  <c r="AZ21" i="9"/>
  <c r="AZ22" i="9"/>
  <c r="AZ23" i="9"/>
  <c r="AZ24" i="9"/>
  <c r="AZ25" i="9"/>
  <c r="AZ26" i="9"/>
  <c r="AZ27" i="9"/>
  <c r="AZ28" i="9"/>
  <c r="AZ29" i="9"/>
  <c r="AZ30" i="9"/>
  <c r="AZ31" i="9"/>
  <c r="AZ32" i="9"/>
  <c r="AZ33" i="9"/>
  <c r="AZ34" i="9"/>
  <c r="AZ35" i="9"/>
  <c r="AZ36" i="9"/>
  <c r="AZ37" i="9"/>
  <c r="AZ38" i="9"/>
  <c r="AZ39" i="9"/>
  <c r="AZ40" i="9"/>
  <c r="AZ41" i="9"/>
  <c r="AZ42" i="9"/>
  <c r="AZ43" i="9"/>
  <c r="AZ44" i="9"/>
  <c r="AZ107" i="9"/>
  <c r="AZ45" i="9"/>
  <c r="AZ46" i="9"/>
  <c r="AZ47" i="9"/>
  <c r="AZ48" i="9"/>
  <c r="AZ49" i="9"/>
  <c r="AZ50" i="9"/>
  <c r="AZ51" i="9"/>
  <c r="AZ52" i="9"/>
  <c r="AZ53" i="9"/>
  <c r="AZ54" i="9"/>
  <c r="AZ55" i="9"/>
  <c r="AZ56" i="9"/>
  <c r="AZ57" i="9"/>
  <c r="AZ58" i="9"/>
  <c r="AZ59" i="9"/>
  <c r="AZ60" i="9"/>
  <c r="AZ61" i="9"/>
  <c r="AZ62" i="9"/>
  <c r="AZ63" i="9"/>
  <c r="AZ64" i="9"/>
  <c r="AZ65" i="9"/>
  <c r="AZ66" i="9"/>
  <c r="AZ67" i="9"/>
  <c r="AZ68" i="9"/>
  <c r="AZ69" i="9"/>
  <c r="AZ70" i="9"/>
  <c r="AZ71" i="9"/>
  <c r="AZ72" i="9"/>
  <c r="AZ73" i="9"/>
  <c r="AZ74" i="9"/>
  <c r="AZ75" i="9"/>
  <c r="AZ76" i="9"/>
  <c r="AZ77" i="9"/>
  <c r="AZ78" i="9"/>
  <c r="AZ79" i="9"/>
  <c r="AZ80" i="9"/>
  <c r="AZ81" i="9"/>
  <c r="AZ82" i="9"/>
  <c r="AZ83" i="9"/>
  <c r="AZ84" i="9"/>
  <c r="AZ85" i="9"/>
  <c r="AZ86" i="9"/>
  <c r="AZ87" i="9"/>
  <c r="AZ88" i="9"/>
  <c r="AZ89" i="9"/>
  <c r="AZ90" i="9"/>
  <c r="AZ91" i="9"/>
  <c r="AZ92" i="9"/>
  <c r="AZ93" i="9"/>
  <c r="AZ94" i="9"/>
  <c r="AZ95" i="9"/>
  <c r="AZ96" i="9"/>
  <c r="AZ97" i="9"/>
  <c r="AZ98" i="9"/>
  <c r="AZ99" i="9"/>
  <c r="AZ100" i="9"/>
  <c r="AZ101" i="9"/>
  <c r="AZ102" i="9"/>
  <c r="AZ103" i="9"/>
  <c r="AZ104" i="9"/>
  <c r="AW5" i="9"/>
  <c r="AW6" i="9"/>
  <c r="AW7" i="9"/>
  <c r="AW8" i="9"/>
  <c r="AW9" i="9"/>
  <c r="AW10" i="9"/>
  <c r="AW11" i="9"/>
  <c r="AW12" i="9"/>
  <c r="AW13" i="9"/>
  <c r="AW14" i="9"/>
  <c r="AW15" i="9"/>
  <c r="AW16" i="9"/>
  <c r="AW17" i="9"/>
  <c r="AW18" i="9"/>
  <c r="AW19" i="9"/>
  <c r="AW20" i="9"/>
  <c r="AW21" i="9"/>
  <c r="AW22" i="9"/>
  <c r="AW23" i="9"/>
  <c r="AW24" i="9"/>
  <c r="AW25" i="9"/>
  <c r="AW26" i="9"/>
  <c r="AW27" i="9"/>
  <c r="AW28" i="9"/>
  <c r="AW29" i="9"/>
  <c r="AW30" i="9"/>
  <c r="AW31" i="9"/>
  <c r="AW32" i="9"/>
  <c r="AW33" i="9"/>
  <c r="AW34" i="9"/>
  <c r="AW35" i="9"/>
  <c r="AW36" i="9"/>
  <c r="AW37" i="9"/>
  <c r="AW38" i="9"/>
  <c r="AW39" i="9"/>
  <c r="AW40" i="9"/>
  <c r="AW41" i="9"/>
  <c r="AW42" i="9"/>
  <c r="AW43" i="9"/>
  <c r="AW44" i="9"/>
  <c r="AW45" i="9"/>
  <c r="AW46" i="9"/>
  <c r="AW47" i="9"/>
  <c r="AW48" i="9"/>
  <c r="AW49" i="9"/>
  <c r="AW50" i="9"/>
  <c r="AW51" i="9"/>
  <c r="AW52" i="9"/>
  <c r="AW53" i="9"/>
  <c r="AW54" i="9"/>
  <c r="AW107" i="9"/>
  <c r="AW55" i="9"/>
  <c r="AW56" i="9"/>
  <c r="AW57" i="9"/>
  <c r="AW58" i="9"/>
  <c r="AW59" i="9"/>
  <c r="AW60" i="9"/>
  <c r="AW61" i="9"/>
  <c r="AW62" i="9"/>
  <c r="AW63" i="9"/>
  <c r="AW64" i="9"/>
  <c r="AW65" i="9"/>
  <c r="AW66" i="9"/>
  <c r="AW67" i="9"/>
  <c r="AW68" i="9"/>
  <c r="AW69" i="9"/>
  <c r="AW70" i="9"/>
  <c r="AW71" i="9"/>
  <c r="AW72" i="9"/>
  <c r="AW73" i="9"/>
  <c r="AW74" i="9"/>
  <c r="AW75" i="9"/>
  <c r="AW76" i="9"/>
  <c r="AW77" i="9"/>
  <c r="AW78" i="9"/>
  <c r="AW79" i="9"/>
  <c r="AW80" i="9"/>
  <c r="AW81" i="9"/>
  <c r="AW82" i="9"/>
  <c r="AW83" i="9"/>
  <c r="AW84" i="9"/>
  <c r="AW85" i="9"/>
  <c r="AW86" i="9"/>
  <c r="AW87" i="9"/>
  <c r="AW88" i="9"/>
  <c r="AW89" i="9"/>
  <c r="AW90" i="9"/>
  <c r="AW91" i="9"/>
  <c r="AW92" i="9"/>
  <c r="AW93" i="9"/>
  <c r="AW94" i="9"/>
  <c r="AW95" i="9"/>
  <c r="AW96" i="9"/>
  <c r="AW97" i="9"/>
  <c r="AW98" i="9"/>
  <c r="AW99" i="9"/>
  <c r="AW100" i="9"/>
  <c r="AW101" i="9"/>
  <c r="AW102" i="9"/>
  <c r="AW103" i="9"/>
  <c r="AW104" i="9"/>
  <c r="AT5" i="9"/>
  <c r="AT6" i="9"/>
  <c r="AT7" i="9"/>
  <c r="AT8" i="9"/>
  <c r="AT9" i="9"/>
  <c r="AT10" i="9"/>
  <c r="AT11" i="9"/>
  <c r="AT12" i="9"/>
  <c r="AT13" i="9"/>
  <c r="AT14" i="9"/>
  <c r="AT15" i="9"/>
  <c r="AT16" i="9"/>
  <c r="AT17" i="9"/>
  <c r="AT18" i="9"/>
  <c r="AT19" i="9"/>
  <c r="AT20" i="9"/>
  <c r="AT21" i="9"/>
  <c r="AT22" i="9"/>
  <c r="AT23" i="9"/>
  <c r="AT24" i="9"/>
  <c r="AT25" i="9"/>
  <c r="AT26" i="9"/>
  <c r="AT27" i="9"/>
  <c r="AT28" i="9"/>
  <c r="AT29" i="9"/>
  <c r="AT30" i="9"/>
  <c r="AT31" i="9"/>
  <c r="AT32" i="9"/>
  <c r="AT33" i="9"/>
  <c r="AT34" i="9"/>
  <c r="AT35" i="9"/>
  <c r="AT36" i="9"/>
  <c r="AT37" i="9"/>
  <c r="AT38" i="9"/>
  <c r="AT39" i="9"/>
  <c r="AT40" i="9"/>
  <c r="AT41" i="9"/>
  <c r="AT42" i="9"/>
  <c r="AT43" i="9"/>
  <c r="AT44" i="9"/>
  <c r="AT45" i="9"/>
  <c r="AT46" i="9"/>
  <c r="AT47" i="9"/>
  <c r="AT48" i="9"/>
  <c r="AT49" i="9"/>
  <c r="AT50" i="9"/>
  <c r="AT51" i="9"/>
  <c r="AT52" i="9"/>
  <c r="AT53" i="9"/>
  <c r="AT54" i="9"/>
  <c r="AT55" i="9"/>
  <c r="AT56" i="9"/>
  <c r="AT57" i="9"/>
  <c r="AT58" i="9"/>
  <c r="AT59" i="9"/>
  <c r="AT60" i="9"/>
  <c r="AT61" i="9"/>
  <c r="AT62" i="9"/>
  <c r="AT63" i="9"/>
  <c r="AT64" i="9"/>
  <c r="AT65" i="9"/>
  <c r="AT66" i="9"/>
  <c r="AT67" i="9"/>
  <c r="AT68" i="9"/>
  <c r="AT69" i="9"/>
  <c r="AT70" i="9"/>
  <c r="AT71" i="9"/>
  <c r="AT72" i="9"/>
  <c r="AT73" i="9"/>
  <c r="AT74" i="9"/>
  <c r="AT75" i="9"/>
  <c r="AT76" i="9"/>
  <c r="AT77" i="9"/>
  <c r="AT78" i="9"/>
  <c r="AT79" i="9"/>
  <c r="AT80" i="9"/>
  <c r="AT81" i="9"/>
  <c r="AT82" i="9"/>
  <c r="AT83" i="9"/>
  <c r="AT84" i="9"/>
  <c r="AT85" i="9"/>
  <c r="AT86" i="9"/>
  <c r="AT87" i="9"/>
  <c r="AT88" i="9"/>
  <c r="AT89" i="9"/>
  <c r="AT90" i="9"/>
  <c r="AT91" i="9"/>
  <c r="AT92" i="9"/>
  <c r="AT93" i="9"/>
  <c r="AT94" i="9"/>
  <c r="AT95" i="9"/>
  <c r="AT96" i="9"/>
  <c r="AT97" i="9"/>
  <c r="AT98" i="9"/>
  <c r="AT99" i="9"/>
  <c r="AT100" i="9"/>
  <c r="AT101" i="9"/>
  <c r="AT102" i="9"/>
  <c r="AT103" i="9"/>
  <c r="AT104" i="9"/>
  <c r="D50" i="9"/>
  <c r="D31" i="9"/>
  <c r="AQ5" i="9"/>
  <c r="AQ6" i="9"/>
  <c r="AQ7" i="9"/>
  <c r="AQ8" i="9"/>
  <c r="AQ9" i="9"/>
  <c r="AQ10" i="9"/>
  <c r="AQ11" i="9"/>
  <c r="AQ12" i="9"/>
  <c r="AQ13" i="9"/>
  <c r="AQ14" i="9"/>
  <c r="AQ15" i="9"/>
  <c r="AQ16" i="9"/>
  <c r="AQ17" i="9"/>
  <c r="AQ18" i="9"/>
  <c r="AQ19" i="9"/>
  <c r="AQ20" i="9"/>
  <c r="AQ21" i="9"/>
  <c r="AQ22" i="9"/>
  <c r="AQ23" i="9"/>
  <c r="AQ24" i="9"/>
  <c r="AQ25" i="9"/>
  <c r="AQ26" i="9"/>
  <c r="AQ27" i="9"/>
  <c r="AQ28" i="9"/>
  <c r="AQ29" i="9"/>
  <c r="AQ30" i="9"/>
  <c r="AQ31" i="9"/>
  <c r="AQ32" i="9"/>
  <c r="AQ33" i="9"/>
  <c r="AQ34" i="9"/>
  <c r="AQ35" i="9"/>
  <c r="AQ36" i="9"/>
  <c r="AQ37" i="9"/>
  <c r="AQ38" i="9"/>
  <c r="AQ39" i="9"/>
  <c r="AQ40" i="9"/>
  <c r="AQ41" i="9"/>
  <c r="AQ42" i="9"/>
  <c r="AQ43" i="9"/>
  <c r="AQ44" i="9"/>
  <c r="AQ45" i="9"/>
  <c r="AQ46" i="9"/>
  <c r="AQ47" i="9"/>
  <c r="AQ48" i="9"/>
  <c r="AQ49" i="9"/>
  <c r="AQ50" i="9"/>
  <c r="AQ51" i="9"/>
  <c r="AQ52" i="9"/>
  <c r="AQ53" i="9"/>
  <c r="AQ54" i="9"/>
  <c r="AQ55" i="9"/>
  <c r="AQ56" i="9"/>
  <c r="AQ57" i="9"/>
  <c r="AQ58" i="9"/>
  <c r="AQ59" i="9"/>
  <c r="AQ60" i="9"/>
  <c r="AQ61" i="9"/>
  <c r="AQ62" i="9"/>
  <c r="AQ63" i="9"/>
  <c r="AQ64" i="9"/>
  <c r="AQ65" i="9"/>
  <c r="AQ66" i="9"/>
  <c r="AQ67" i="9"/>
  <c r="AQ68" i="9"/>
  <c r="AQ69" i="9"/>
  <c r="AQ70" i="9"/>
  <c r="AQ71" i="9"/>
  <c r="AQ72" i="9"/>
  <c r="AQ73" i="9"/>
  <c r="AQ74" i="9"/>
  <c r="AQ75" i="9"/>
  <c r="AQ76" i="9"/>
  <c r="AQ77" i="9"/>
  <c r="AQ78" i="9"/>
  <c r="AQ79" i="9"/>
  <c r="AQ80" i="9"/>
  <c r="AQ81" i="9"/>
  <c r="AQ82" i="9"/>
  <c r="AQ83" i="9"/>
  <c r="AQ84" i="9"/>
  <c r="AQ85" i="9"/>
  <c r="AQ86" i="9"/>
  <c r="AQ87" i="9"/>
  <c r="AQ88" i="9"/>
  <c r="AQ89" i="9"/>
  <c r="AQ107" i="9"/>
  <c r="AQ90" i="9"/>
  <c r="AQ91" i="9"/>
  <c r="AQ92" i="9"/>
  <c r="AQ93" i="9"/>
  <c r="AQ94" i="9"/>
  <c r="AQ95" i="9"/>
  <c r="AQ96" i="9"/>
  <c r="AQ97" i="9"/>
  <c r="AQ98" i="9"/>
  <c r="AQ99" i="9"/>
  <c r="AQ100" i="9"/>
  <c r="AQ101" i="9"/>
  <c r="AQ102" i="9"/>
  <c r="AQ103" i="9"/>
  <c r="AQ104" i="9"/>
  <c r="D39" i="9"/>
  <c r="D18" i="9"/>
  <c r="AE34" i="3"/>
  <c r="AB5" i="5"/>
  <c r="AB6" i="5"/>
  <c r="AB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AB45" i="5"/>
  <c r="AB46" i="5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AB60" i="5"/>
  <c r="AB61" i="5"/>
  <c r="AB62" i="5"/>
  <c r="AB63" i="5"/>
  <c r="AB64" i="5"/>
  <c r="AB65" i="5"/>
  <c r="AB66" i="5"/>
  <c r="AB67" i="5"/>
  <c r="AB68" i="5"/>
  <c r="AB69" i="5"/>
  <c r="AB70" i="5"/>
  <c r="AB71" i="5"/>
  <c r="AB72" i="5"/>
  <c r="AB73" i="5"/>
  <c r="AB74" i="5"/>
  <c r="AB75" i="5"/>
  <c r="AB76" i="5"/>
  <c r="AB77" i="5"/>
  <c r="AB78" i="5"/>
  <c r="AB79" i="5"/>
  <c r="AB80" i="5"/>
  <c r="AB81" i="5"/>
  <c r="AB82" i="5"/>
  <c r="AB83" i="5"/>
  <c r="AB84" i="5"/>
  <c r="AB85" i="5"/>
  <c r="AB86" i="5"/>
  <c r="AB87" i="5"/>
  <c r="AB88" i="5"/>
  <c r="AB89" i="5"/>
  <c r="AB107" i="5"/>
  <c r="AB90" i="5"/>
  <c r="AB91" i="5"/>
  <c r="AB92" i="5"/>
  <c r="AB93" i="5"/>
  <c r="AB94" i="5"/>
  <c r="AB95" i="5"/>
  <c r="AB96" i="5"/>
  <c r="AB97" i="5"/>
  <c r="AB98" i="5"/>
  <c r="AB99" i="5"/>
  <c r="AB100" i="5"/>
  <c r="AB101" i="5"/>
  <c r="AB102" i="5"/>
  <c r="AB103" i="5"/>
  <c r="AB104" i="5"/>
  <c r="Y34" i="9"/>
  <c r="D10" i="9"/>
  <c r="AD34" i="9"/>
  <c r="D14" i="9"/>
  <c r="D22" i="9"/>
  <c r="AN5" i="9"/>
  <c r="AN6" i="9"/>
  <c r="AN7" i="9"/>
  <c r="AN8" i="9"/>
  <c r="AN9" i="9"/>
  <c r="AN10" i="9"/>
  <c r="AN11" i="9"/>
  <c r="AN12" i="9"/>
  <c r="AN13" i="9"/>
  <c r="AN14" i="9"/>
  <c r="AN15" i="9"/>
  <c r="AN16" i="9"/>
  <c r="AN17" i="9"/>
  <c r="AN18" i="9"/>
  <c r="AN19" i="9"/>
  <c r="AN20" i="9"/>
  <c r="AN21" i="9"/>
  <c r="AN22" i="9"/>
  <c r="AN23" i="9"/>
  <c r="AN24" i="9"/>
  <c r="AN25" i="9"/>
  <c r="AN26" i="9"/>
  <c r="AN27" i="9"/>
  <c r="AN28" i="9"/>
  <c r="AN29" i="9"/>
  <c r="AN30" i="9"/>
  <c r="AN31" i="9"/>
  <c r="AN32" i="9"/>
  <c r="AN33" i="9"/>
  <c r="AN34" i="9"/>
  <c r="AN35" i="9"/>
  <c r="AN36" i="9"/>
  <c r="AN37" i="9"/>
  <c r="AN38" i="9"/>
  <c r="AN39" i="9"/>
  <c r="AN40" i="9"/>
  <c r="AN41" i="9"/>
  <c r="AN42" i="9"/>
  <c r="AN43" i="9"/>
  <c r="AN44" i="9"/>
  <c r="AN45" i="9"/>
  <c r="AN46" i="9"/>
  <c r="AN47" i="9"/>
  <c r="AN48" i="9"/>
  <c r="AN49" i="9"/>
  <c r="AN50" i="9"/>
  <c r="AN51" i="9"/>
  <c r="AN52" i="9"/>
  <c r="AN53" i="9"/>
  <c r="AN54" i="9"/>
  <c r="AN55" i="9"/>
  <c r="AN56" i="9"/>
  <c r="AN57" i="9"/>
  <c r="AN58" i="9"/>
  <c r="AN59" i="9"/>
  <c r="AN60" i="9"/>
  <c r="AN61" i="9"/>
  <c r="AN62" i="9"/>
  <c r="AN63" i="9"/>
  <c r="AN64" i="9"/>
  <c r="AN65" i="9"/>
  <c r="AN66" i="9"/>
  <c r="AN67" i="9"/>
  <c r="AN68" i="9"/>
  <c r="AN69" i="9"/>
  <c r="AN70" i="9"/>
  <c r="AN71" i="9"/>
  <c r="AN72" i="9"/>
  <c r="AN73" i="9"/>
  <c r="AN74" i="9"/>
  <c r="AN75" i="9"/>
  <c r="AN76" i="9"/>
  <c r="AN77" i="9"/>
  <c r="AN78" i="9"/>
  <c r="AN79" i="9"/>
  <c r="AN80" i="9"/>
  <c r="AN81" i="9"/>
  <c r="AN82" i="9"/>
  <c r="AN83" i="9"/>
  <c r="AN84" i="9"/>
  <c r="AN85" i="9"/>
  <c r="AN86" i="9"/>
  <c r="AN87" i="9"/>
  <c r="AN88" i="9"/>
  <c r="AN89" i="9"/>
  <c r="AN107" i="9"/>
  <c r="D33" i="9"/>
  <c r="D35" i="9"/>
  <c r="AN90" i="9"/>
  <c r="AN91" i="9"/>
  <c r="AN92" i="9"/>
  <c r="AN93" i="9"/>
  <c r="AN94" i="9"/>
  <c r="AN95" i="9"/>
  <c r="AN96" i="9"/>
  <c r="AN97" i="9"/>
  <c r="AN98" i="9"/>
  <c r="AN99" i="9"/>
  <c r="AN100" i="9"/>
  <c r="AN101" i="9"/>
  <c r="AN102" i="9"/>
  <c r="AN103" i="9"/>
  <c r="AN104" i="9"/>
  <c r="AH59" i="9"/>
  <c r="D20" i="9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" i="8"/>
  <c r="F1" i="8"/>
</calcChain>
</file>

<file path=xl/sharedStrings.xml><?xml version="1.0" encoding="utf-8"?>
<sst xmlns="http://schemas.openxmlformats.org/spreadsheetml/2006/main" count="638" uniqueCount="413">
  <si>
    <t>Home</t>
  </si>
  <si>
    <t>Description</t>
  </si>
  <si>
    <t>Population</t>
  </si>
  <si>
    <t>Costs</t>
  </si>
  <si>
    <t>Resource Use</t>
  </si>
  <si>
    <t>Results</t>
  </si>
  <si>
    <t>Deterministic analysis</t>
  </si>
  <si>
    <t>Intro</t>
  </si>
  <si>
    <t>Objective</t>
  </si>
  <si>
    <t>Development of an algorithm for the estimation of the fiscal impact of health technology will be developed.</t>
  </si>
  <si>
    <t>Fiscal impact estimate: decrease of income tax revenues caused from lower pays after a sickness status.</t>
  </si>
  <si>
    <t>Time horizon</t>
  </si>
  <si>
    <t>Time horizon is up to retirement age.</t>
  </si>
  <si>
    <t>Perspective</t>
  </si>
  <si>
    <t>Cost and health outcomes are evaluated from the perspective of the third party payer.</t>
  </si>
  <si>
    <t>Color coding and formatting</t>
  </si>
  <si>
    <t>Green cells with black border on input pages are user-modifiable and represent model inputs.</t>
  </si>
  <si>
    <t>Cell link</t>
  </si>
  <si>
    <t>Austria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</si>
  <si>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</si>
  <si>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</si>
  <si>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</si>
  <si>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</si>
  <si>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</si>
  <si>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</si>
  <si>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</si>
  <si>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</si>
  <si>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</si>
  <si>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</si>
  <si>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</si>
  <si>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</si>
  <si>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</si>
  <si>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</si>
  <si>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</si>
  <si>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</si>
  <si>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</si>
  <si>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</si>
  <si>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</si>
  <si>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</si>
  <si>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</si>
  <si>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</si>
  <si>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</si>
  <si>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</si>
  <si>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</si>
  <si>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</si>
  <si>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Popolazione Paesi UE</t>
  </si>
  <si>
    <t>Insert population</t>
  </si>
  <si>
    <t>Target population</t>
  </si>
  <si>
    <t>Disease Incidence</t>
  </si>
  <si>
    <t>Disease Prevalence</t>
  </si>
  <si>
    <t>The working age population is defined as those aged 15 to 64. This indicator measures the share of the working age population in total population.</t>
  </si>
  <si>
    <t>Source</t>
  </si>
  <si>
    <t>Note</t>
  </si>
  <si>
    <t>OECD</t>
  </si>
  <si>
    <t>World Bank</t>
  </si>
  <si>
    <t>Member state of the European Union</t>
  </si>
  <si>
    <t>location</t>
  </si>
  <si>
    <t>total_vaccinations</t>
  </si>
  <si>
    <t>Afghanistan</t>
  </si>
  <si>
    <t>Africa</t>
  </si>
  <si>
    <t>Albania</t>
  </si>
  <si>
    <t>Algeria</t>
  </si>
  <si>
    <t>Andorra</t>
  </si>
  <si>
    <t>Angola</t>
  </si>
  <si>
    <t>Anguilla</t>
  </si>
  <si>
    <t>Antigua and Barbuda</t>
  </si>
  <si>
    <t>Argentina</t>
  </si>
  <si>
    <t>Armenia</t>
  </si>
  <si>
    <t>Aruba</t>
  </si>
  <si>
    <t>Asia</t>
  </si>
  <si>
    <t>Australia</t>
  </si>
  <si>
    <t>Azerbaijan</t>
  </si>
  <si>
    <t>Bahamas</t>
  </si>
  <si>
    <t>Bahrain</t>
  </si>
  <si>
    <t>Bangladesh</t>
  </si>
  <si>
    <t>Barbados</t>
  </si>
  <si>
    <t>Belarus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</si>
  <si>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</si>
  <si>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</si>
  <si>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</si>
  <si>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</si>
  <si>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</si>
  <si>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</si>
  <si>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</si>
  <si>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</si>
  <si>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British Virgin Islands</t>
  </si>
  <si>
    <t>Brunei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</si>
  <si>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</si>
  <si>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</si>
  <si>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</si>
  <si>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</si>
  <si>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</si>
  <si>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</si>
  <si>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</si>
  <si>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</si>
  <si>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</si>
  <si>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</si>
  <si>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</si>
  <si>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</si>
  <si>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</si>
  <si>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</si>
  <si>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</si>
  <si>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</si>
  <si>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</si>
  <si>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Cuba</t>
  </si>
  <si>
    <t>Curacao</t>
  </si>
  <si>
    <t>Democratic Republic of Congo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</si>
  <si>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</si>
  <si>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</si>
  <si>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</si>
  <si>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</si>
  <si>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</si>
  <si>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</si>
  <si>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</si>
  <si>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</si>
  <si>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Eswatini</t>
  </si>
  <si>
    <t>Ethiopia</t>
  </si>
  <si>
    <t>Europe</t>
  </si>
  <si>
    <t>European Union</t>
  </si>
  <si>
    <t>Faeroe Islands</t>
  </si>
  <si>
    <t>Fiji</t>
  </si>
  <si>
    <t>French Polynesia</t>
  </si>
  <si>
    <t>Gabon</t>
  </si>
  <si>
    <t>Gambia</t>
  </si>
  <si>
    <t>Georgia</t>
  </si>
  <si>
    <t>Ghana</t>
  </si>
  <si>
    <t>Gibraltar</t>
  </si>
  <si>
    <t>Greenland</t>
  </si>
  <si>
    <t>Grenada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</si>
  <si>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</si>
  <si>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</si>
  <si>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</si>
  <si>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</si>
  <si>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</si>
  <si>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</si>
  <si>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</si>
  <si>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</t>
  </si>
  <si>
    <t>Iceland</t>
  </si>
  <si>
    <t>India</t>
  </si>
  <si>
    <t>Indonesia</t>
  </si>
  <si>
    <t>International</t>
  </si>
  <si>
    <t>Iran</t>
  </si>
  <si>
    <t>Iraq</t>
  </si>
  <si>
    <t>Isle of Man</t>
  </si>
  <si>
    <t>Israel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</si>
  <si>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</si>
  <si>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</si>
  <si>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</si>
  <si>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</si>
  <si>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</si>
  <si>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</si>
  <si>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</si>
  <si>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</si>
  <si>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</si>
  <si>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</si>
  <si>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</si>
  <si>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Lebanon</t>
  </si>
  <si>
    <t>Lesotho</t>
  </si>
  <si>
    <t>Liberia</t>
  </si>
  <si>
    <t>Libya</t>
  </si>
  <si>
    <t>Liechtenstein</t>
  </si>
  <si>
    <t>Macao</t>
  </si>
  <si>
    <t>Madagascar</t>
  </si>
  <si>
    <t>Malawi</t>
  </si>
  <si>
    <t>Malaysia</t>
  </si>
  <si>
    <t>Maldives</t>
  </si>
  <si>
    <t>Mali</t>
  </si>
  <si>
    <t>Marshall Islands</t>
  </si>
  <si>
    <t>Mauritania</t>
  </si>
  <si>
    <t>Mauritius</t>
  </si>
  <si>
    <t>Mexico</t>
  </si>
  <si>
    <t>Micronesia (country)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</si>
  <si>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</si>
  <si>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</si>
  <si>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</si>
  <si>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</si>
  <si>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</si>
  <si>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</si>
  <si>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</si>
  <si>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</si>
  <si>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</si>
  <si>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Nepal</t>
  </si>
  <si>
    <t>New Caledonia</t>
  </si>
  <si>
    <t>New Zealand</t>
  </si>
  <si>
    <t>Nicaragua</t>
  </si>
  <si>
    <t>Niger</t>
  </si>
  <si>
    <t>Nigeria</t>
  </si>
  <si>
    <t>North America</t>
  </si>
  <si>
    <t>North Macedonia</t>
  </si>
  <si>
    <t>Northern Cyprus</t>
  </si>
  <si>
    <t>Norway</t>
  </si>
  <si>
    <t>Oceania</t>
  </si>
  <si>
    <t>Oman</t>
  </si>
  <si>
    <t>Pakistan</t>
  </si>
  <si>
    <t>Palestine</t>
  </si>
  <si>
    <t>Panama</t>
  </si>
  <si>
    <t>Papua New Guinea</t>
  </si>
  <si>
    <t>Paraguay</t>
  </si>
  <si>
    <t>Peru</t>
  </si>
  <si>
    <t>Philippines</t>
  </si>
  <si>
    <t>Qatar</t>
  </si>
  <si>
    <t>Russia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</si>
  <si>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</si>
  <si>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</si>
  <si>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</si>
  <si>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</si>
  <si>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</si>
  <si>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</si>
  <si>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</si>
  <si>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</si>
  <si>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</si>
  <si>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</si>
  <si>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</si>
  <si>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</si>
  <si>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</si>
  <si>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 (Dutch part)</t>
  </si>
  <si>
    <t>Solomon Islands</t>
  </si>
  <si>
    <t>Somalia</t>
  </si>
  <si>
    <t>South Africa</t>
  </si>
  <si>
    <t>South America</t>
  </si>
  <si>
    <t>South Korea</t>
  </si>
  <si>
    <t>South Sudan</t>
  </si>
  <si>
    <t>Sri Lanka</t>
  </si>
  <si>
    <t>Sudan</t>
  </si>
  <si>
    <t>Suriname</t>
  </si>
  <si>
    <t>Switzerland</t>
  </si>
  <si>
    <t>Syria</t>
  </si>
  <si>
    <t>Taiwan</t>
  </si>
  <si>
    <t>Tajikistan</t>
  </si>
  <si>
    <t>Tanzania</t>
  </si>
  <si>
    <t>Thailand</t>
  </si>
  <si>
    <t>Timor</t>
  </si>
  <si>
    <t>Togo</t>
  </si>
  <si>
    <t>Tonga</t>
  </si>
  <si>
    <t>Trinidad and Tobago</t>
  </si>
  <si>
    <t>Tunisia</t>
  </si>
  <si>
    <t>Turkey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</si>
  <si>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</si>
  <si>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</si>
  <si>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</si>
  <si>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</si>
  <si>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</si>
  <si>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</si>
  <si>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</si>
  <si>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</si>
  <si>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</si>
  <si>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</si>
  <si>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Vatican</t>
  </si>
  <si>
    <t>Venezuela</t>
  </si>
  <si>
    <t>Vietnam</t>
  </si>
  <si>
    <t>Wallis and Futuna</t>
  </si>
  <si>
    <t>World</t>
  </si>
  <si>
    <t>Yemen</t>
  </si>
  <si>
    <t>Zambia</t>
  </si>
  <si>
    <t>Zimbabwe</t>
  </si>
  <si>
    <t>Population ages 15-64 (% of total population)</t>
  </si>
  <si>
    <t>Czech Republic</t>
  </si>
  <si>
    <t>Slovak Republic</t>
  </si>
  <si>
    <t>Working age (%)</t>
  </si>
  <si>
    <t>Insert % of wornking population</t>
  </si>
  <si>
    <t>General population</t>
  </si>
  <si>
    <t>Working population</t>
  </si>
  <si>
    <t>Disease specific</t>
  </si>
  <si>
    <r>
      <t>Average days lost due to a specific disease (</t>
    </r>
    <r>
      <rPr>
        <b/>
        <i/>
        <sz val="12"/>
        <color theme="1"/>
        <rFont val="Calibri"/>
        <family val="2"/>
        <scheme val="minor"/>
      </rPr>
      <t>monthly</t>
    </r>
    <r>
      <rPr>
        <b/>
        <sz val="12"/>
        <color theme="1"/>
        <rFont val="Calibri"/>
        <family val="2"/>
        <scheme val="minor"/>
      </rPr>
      <t>)</t>
    </r>
  </si>
  <si>
    <t>Day work for week</t>
  </si>
  <si>
    <t>Working days per week</t>
  </si>
  <si>
    <t>Blue cells with black border contain calculations that are not user-modifiable.</t>
  </si>
  <si>
    <t>Withe cells with gry border represent a drop-down selection</t>
  </si>
  <si>
    <t>18 hours for day</t>
  </si>
  <si>
    <t>week per year</t>
  </si>
  <si>
    <r>
      <t>Working weeks lost (</t>
    </r>
    <r>
      <rPr>
        <b/>
        <i/>
        <sz val="12"/>
        <color theme="1"/>
        <rFont val="Calibri"/>
        <family val="2"/>
        <scheme val="minor"/>
      </rPr>
      <t>monthly</t>
    </r>
    <r>
      <rPr>
        <b/>
        <sz val="12"/>
        <color theme="1"/>
        <rFont val="Calibri"/>
        <family val="2"/>
        <scheme val="minor"/>
      </rPr>
      <t>)</t>
    </r>
  </si>
  <si>
    <r>
      <t>Working hours (</t>
    </r>
    <r>
      <rPr>
        <b/>
        <i/>
        <sz val="12"/>
        <color theme="1"/>
        <rFont val="Calibri"/>
        <family val="2"/>
        <scheme val="minor"/>
      </rPr>
      <t>daily</t>
    </r>
    <r>
      <rPr>
        <b/>
        <sz val="12"/>
        <color theme="1"/>
        <rFont val="Calibri"/>
        <family val="2"/>
        <scheme val="minor"/>
      </rPr>
      <t>)</t>
    </r>
  </si>
  <si>
    <r>
      <t>Working hours (</t>
    </r>
    <r>
      <rPr>
        <b/>
        <i/>
        <sz val="12"/>
        <color theme="1"/>
        <rFont val="Calibri"/>
        <family val="2"/>
        <scheme val="minor"/>
      </rPr>
      <t>weekly</t>
    </r>
    <r>
      <rPr>
        <b/>
        <sz val="12"/>
        <color theme="1"/>
        <rFont val="Calibri"/>
        <family val="2"/>
        <scheme val="minor"/>
      </rPr>
      <t>)</t>
    </r>
  </si>
  <si>
    <t>Working weeks per year</t>
  </si>
  <si>
    <t>1 week per year</t>
  </si>
  <si>
    <t>2 weeks per year</t>
  </si>
  <si>
    <t>3 weeks per year</t>
  </si>
  <si>
    <t>4 weeks per year</t>
  </si>
  <si>
    <t>5 weeks per year</t>
  </si>
  <si>
    <t>6 weeks per year</t>
  </si>
  <si>
    <t>7 weeks per year</t>
  </si>
  <si>
    <t>8 weeks per year</t>
  </si>
  <si>
    <t>9 weeks per year</t>
  </si>
  <si>
    <t>10 weeks per year</t>
  </si>
  <si>
    <t>11 weeks per year</t>
  </si>
  <si>
    <t>12 weeks per year</t>
  </si>
  <si>
    <t>13 weeks per year</t>
  </si>
  <si>
    <t>14 weeks per year</t>
  </si>
  <si>
    <t>15 weeks per year</t>
  </si>
  <si>
    <t>16 weeks per year</t>
  </si>
  <si>
    <t>17 weeks per year</t>
  </si>
  <si>
    <t>18 weeks per year</t>
  </si>
  <si>
    <t>19 weeks per year</t>
  </si>
  <si>
    <t>20 weeks per year</t>
  </si>
  <si>
    <t>21 weeks per year</t>
  </si>
  <si>
    <t>22 weeks per year</t>
  </si>
  <si>
    <t>23 weeks per year</t>
  </si>
  <si>
    <t>24 weeks per year</t>
  </si>
  <si>
    <t>25 weeks per year</t>
  </si>
  <si>
    <t>26 weeks per year</t>
  </si>
  <si>
    <t>27 weeks per year</t>
  </si>
  <si>
    <t>28 weeks per year</t>
  </si>
  <si>
    <t>29 weeks per year</t>
  </si>
  <si>
    <t>30 weeks per year</t>
  </si>
  <si>
    <t>31 weeks per year</t>
  </si>
  <si>
    <t>32 weeks per year</t>
  </si>
  <si>
    <t>33 weeks per year</t>
  </si>
  <si>
    <t>34 weeks per year</t>
  </si>
  <si>
    <t>35 weeks per year</t>
  </si>
  <si>
    <t>36 weeks per year</t>
  </si>
  <si>
    <t>37 weeks per year</t>
  </si>
  <si>
    <t>38 weeks per year</t>
  </si>
  <si>
    <t>39 weeks per year</t>
  </si>
  <si>
    <t>40 weeks per year</t>
  </si>
  <si>
    <t>41 weeks per year</t>
  </si>
  <si>
    <t>42 weeks per year</t>
  </si>
  <si>
    <t>43 weeks per year</t>
  </si>
  <si>
    <t>44 weeks per year</t>
  </si>
  <si>
    <t>45 weeks per year</t>
  </si>
  <si>
    <t>46 weeks per year</t>
  </si>
  <si>
    <t>47 weeks per year</t>
  </si>
  <si>
    <t>48 weeks per year</t>
  </si>
  <si>
    <t>49 weeks per year</t>
  </si>
  <si>
    <t>50 weeks per year</t>
  </si>
  <si>
    <t>51 weeks per year</t>
  </si>
  <si>
    <t>52 weeks per year</t>
  </si>
  <si>
    <t>1 hour per day</t>
  </si>
  <si>
    <t>2 hours per day</t>
  </si>
  <si>
    <t>3 hours per day</t>
  </si>
  <si>
    <t>4 hours per day</t>
  </si>
  <si>
    <t>5 hours per day</t>
  </si>
  <si>
    <t>6 hours per day</t>
  </si>
  <si>
    <t>7 hours per day</t>
  </si>
  <si>
    <t>8 hours per day</t>
  </si>
  <si>
    <t>9 hours per day</t>
  </si>
  <si>
    <t>10 hours per day</t>
  </si>
  <si>
    <t>11 hours per day</t>
  </si>
  <si>
    <t>12 hours per day</t>
  </si>
  <si>
    <t>13 hours per day</t>
  </si>
  <si>
    <t>14 hours per day</t>
  </si>
  <si>
    <t>15 hours per day</t>
  </si>
  <si>
    <t>16 hours per day</t>
  </si>
  <si>
    <t>17 hours per day</t>
  </si>
  <si>
    <t>18 hours per day</t>
  </si>
  <si>
    <t>1 day per week</t>
  </si>
  <si>
    <t>2 day per week</t>
  </si>
  <si>
    <t>3 day per week</t>
  </si>
  <si>
    <t>4 day per week</t>
  </si>
  <si>
    <t>5 day per week</t>
  </si>
  <si>
    <t>6 day per week</t>
  </si>
  <si>
    <t>7 day per week</t>
  </si>
  <si>
    <r>
      <t>Total working hours lost (</t>
    </r>
    <r>
      <rPr>
        <b/>
        <i/>
        <sz val="12"/>
        <color theme="1"/>
        <rFont val="Calibri"/>
        <family val="2"/>
        <scheme val="minor"/>
      </rPr>
      <t>monthly</t>
    </r>
    <r>
      <rPr>
        <b/>
        <sz val="12"/>
        <color theme="1"/>
        <rFont val="Calibri"/>
        <family val="2"/>
        <scheme val="minor"/>
      </rPr>
      <t>)</t>
    </r>
  </si>
  <si>
    <t>Total working hours potential per year</t>
  </si>
  <si>
    <r>
      <t>Total working hours lost  (</t>
    </r>
    <r>
      <rPr>
        <b/>
        <i/>
        <sz val="12"/>
        <color theme="1"/>
        <rFont val="Calibri"/>
        <family val="2"/>
        <scheme val="minor"/>
      </rPr>
      <t>annually</t>
    </r>
    <r>
      <rPr>
        <b/>
        <sz val="12"/>
        <color theme="1"/>
        <rFont val="Calibri"/>
        <family val="2"/>
        <scheme val="minor"/>
      </rPr>
      <t>)</t>
    </r>
  </si>
  <si>
    <t>Cost of labor</t>
  </si>
  <si>
    <t>Taxable hourly fixed part (%)</t>
  </si>
  <si>
    <t>Taxable hourly variable part (%)</t>
  </si>
  <si>
    <t>% part fix</t>
  </si>
  <si>
    <t>Taxable hourly variable part (EUR)</t>
  </si>
  <si>
    <t>Taxable hourly fixed part (EUR)</t>
  </si>
  <si>
    <t>Total annual taxable amount</t>
  </si>
  <si>
    <r>
      <t>Average cost of one hour of work (</t>
    </r>
    <r>
      <rPr>
        <b/>
        <i/>
        <sz val="12"/>
        <color theme="1"/>
        <rFont val="Calibri"/>
        <family val="2"/>
        <scheme val="minor"/>
      </rPr>
      <t>EUR</t>
    </r>
    <r>
      <rPr>
        <b/>
        <sz val="12"/>
        <color theme="1"/>
        <rFont val="Calibri"/>
        <family val="2"/>
        <scheme val="minor"/>
      </rPr>
      <t>)</t>
    </r>
  </si>
  <si>
    <t>Impact hypothesis of a specific policy</t>
  </si>
  <si>
    <t>Health policy</t>
  </si>
  <si>
    <t>e. g. annual increase in the use of tele homecare services</t>
  </si>
  <si>
    <t>Disease impact on single patient</t>
  </si>
  <si>
    <t>Health policy effect</t>
  </si>
  <si>
    <t>Eligible population</t>
  </si>
  <si>
    <t>Prevalence population</t>
  </si>
  <si>
    <t>Incidence population</t>
  </si>
  <si>
    <t>insert source</t>
  </si>
  <si>
    <t>Disease impact on work (PATIENT)</t>
  </si>
  <si>
    <t>Total annual taxable amount (net of sickness hours)</t>
  </si>
  <si>
    <t>Income tax</t>
  </si>
  <si>
    <t>Fixed Taxation</t>
  </si>
  <si>
    <t>Annual income no sickness</t>
  </si>
  <si>
    <t>Annual income with sickness</t>
  </si>
  <si>
    <t>Variable Taxation</t>
  </si>
  <si>
    <t>First echelon (i.e., from 0 EUR to 10,000 EUR)</t>
  </si>
  <si>
    <t>First echelon (Annual income no sickness)</t>
  </si>
  <si>
    <t>Second echelon (Annual income no sickness)</t>
  </si>
  <si>
    <t>Second echelon (i.e., from 10,001 EUR to 20,000 EUR)</t>
  </si>
  <si>
    <t>Third echelon (Annual income no sickness)</t>
  </si>
  <si>
    <t>Third echelon (i.e., from 20,001 EUR to 30,000 EUR)</t>
  </si>
  <si>
    <t>Social costs</t>
  </si>
  <si>
    <r>
      <t>Social costs for patient (</t>
    </r>
    <r>
      <rPr>
        <b/>
        <i/>
        <sz val="12"/>
        <color theme="1"/>
        <rFont val="Calibri"/>
        <family val="2"/>
        <scheme val="minor"/>
      </rPr>
      <t>annually</t>
    </r>
    <r>
      <rPr>
        <b/>
        <sz val="12"/>
        <color theme="1"/>
        <rFont val="Calibri"/>
        <family val="2"/>
        <scheme val="minor"/>
      </rPr>
      <t>)</t>
    </r>
  </si>
  <si>
    <r>
      <t>Social costs for caregiver (</t>
    </r>
    <r>
      <rPr>
        <b/>
        <i/>
        <sz val="12"/>
        <color theme="1"/>
        <rFont val="Calibri"/>
        <family val="2"/>
        <scheme val="minor"/>
      </rPr>
      <t>annually</t>
    </r>
    <r>
      <rPr>
        <b/>
        <sz val="12"/>
        <color theme="1"/>
        <rFont val="Calibri"/>
        <family val="2"/>
        <scheme val="minor"/>
      </rPr>
      <t>)</t>
    </r>
  </si>
  <si>
    <t>Fiscal Impact</t>
  </si>
  <si>
    <r>
      <t>Fiscal impact for patient (</t>
    </r>
    <r>
      <rPr>
        <i/>
        <sz val="12"/>
        <color theme="1"/>
        <rFont val="Calibri"/>
        <family val="2"/>
        <scheme val="minor"/>
      </rPr>
      <t>annually</t>
    </r>
    <r>
      <rPr>
        <sz val="12"/>
        <color theme="1"/>
        <rFont val="Calibri"/>
        <family val="2"/>
        <scheme val="minor"/>
      </rPr>
      <t>)</t>
    </r>
  </si>
  <si>
    <t>Social costs for caregiver use (hour)</t>
  </si>
  <si>
    <t>% caregiver use for patient (annually)</t>
  </si>
  <si>
    <t>Social costs for patient (hour)</t>
  </si>
  <si>
    <t>Results base case</t>
  </si>
  <si>
    <t>MEAN AGE</t>
  </si>
  <si>
    <t>NUMBER OF PATIENT</t>
  </si>
  <si>
    <t>FISCAL IMPACT</t>
  </si>
  <si>
    <t>SOCIAL COSTS</t>
  </si>
  <si>
    <t>TOTAL (FISCAL IMPACT + SOCIAL COSTS)</t>
  </si>
  <si>
    <t>INCREASE IN TAX REVENUE (CUMULATIVE)</t>
  </si>
  <si>
    <t>DECREASE IN PRODUCTIVITY LOSS (CUMULATIVE)</t>
  </si>
  <si>
    <t>Average age of the population</t>
  </si>
  <si>
    <t>Deviation standard</t>
  </si>
  <si>
    <t>FISCAL IMPACT (BASE CASE)</t>
  </si>
  <si>
    <t>10TH percentile</t>
  </si>
  <si>
    <t>25TH percentile</t>
  </si>
  <si>
    <t>50TH percentile</t>
  </si>
  <si>
    <t>75TH percentile</t>
  </si>
  <si>
    <t>90TH percentile</t>
  </si>
  <si>
    <t>Deviation standard of parameters</t>
  </si>
  <si>
    <t>Algorithm for the estimation of the fiscal impact of new technologies</t>
  </si>
  <si>
    <t>The model was developed in WP9: Expanding economic analysis for HTA: methods for measuring fiscal impact of new healthcare interventions.</t>
  </si>
  <si>
    <t>Creative Commons Attribution 4.0 International License</t>
  </si>
  <si>
    <t>This work is licensed under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</si>
</sst>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;\-&quot;€&quot;\ #,##0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ndara"/>
      <family val="2"/>
    </font>
    <font>
      <b/>
      <sz val="11"/>
      <color theme="1"/>
      <name val="Candara"/>
      <family val="2"/>
    </font>
    <font>
      <b/>
      <sz val="12"/>
      <color theme="1"/>
      <name val="Candara"/>
      <family val="2"/>
    </font>
    <font>
      <sz val="11"/>
      <color rgb="FF002D82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FFFF"/>
      <name val="Calibri"/>
      <family val="2"/>
    </font>
    <font>
      <u/>
      <sz val="12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66336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Alignment="0">
      <alignment horizontal="center" vertical="center"/>
    </xf>
    <xf numFmtId="0" fontId="8" fillId="0" borderId="0"/>
    <xf numFmtId="0" fontId="15" fillId="0" borderId="0" applyNumberForma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0" fillId="3" borderId="0" xfId="0" applyFill="1"/>
    <xf numFmtId="0" fontId="4" fillId="2" borderId="0" xfId="0" applyFont="1" applyFill="1"/>
    <xf numFmtId="0" fontId="5" fillId="2" borderId="1" xfId="0" applyFont="1" applyFill="1" applyBorder="1"/>
    <xf numFmtId="0" fontId="6" fillId="4" borderId="0" xfId="0" applyFont="1" applyFill="1" applyAlignment="1">
      <alignment horizontal="center" vertical="center"/>
    </xf>
    <xf numFmtId="0" fontId="4" fillId="3" borderId="0" xfId="0" applyFont="1" applyFill="1"/>
    <xf numFmtId="0" fontId="6" fillId="5" borderId="0" xfId="0" applyFont="1" applyFill="1" applyAlignment="1">
      <alignment horizontal="center"/>
    </xf>
    <xf numFmtId="0" fontId="6" fillId="6" borderId="0" xfId="0" applyFont="1" applyFill="1" applyAlignment="1">
      <alignment horizontal="center" vertical="center"/>
    </xf>
    <xf numFmtId="0" fontId="2" fillId="2" borderId="0" xfId="0" applyFont="1" applyFill="1"/>
    <xf numFmtId="0" fontId="0" fillId="7" borderId="2" xfId="0" applyFill="1" applyBorder="1"/>
    <xf numFmtId="0" fontId="0" fillId="8" borderId="2" xfId="0" applyFill="1" applyBorder="1"/>
    <xf numFmtId="3" fontId="0" fillId="2" borderId="0" xfId="0" applyNumberFormat="1" applyFill="1"/>
    <xf numFmtId="0" fontId="2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3" fillId="0" borderId="2" xfId="3" applyFont="1" applyBorder="1" applyAlignment="1">
      <alignment horizontal="center" vertical="top"/>
    </xf>
    <xf numFmtId="0" fontId="8" fillId="0" borderId="0" xfId="3"/>
    <xf numFmtId="10" fontId="0" fillId="2" borderId="0" xfId="1" applyNumberFormat="1" applyFont="1" applyFill="1"/>
    <xf numFmtId="0" fontId="0" fillId="7" borderId="2" xfId="0" applyFill="1" applyBorder="1" applyAlignment="1">
      <alignment horizontal="center" vertical="center"/>
    </xf>
    <xf numFmtId="10" fontId="0" fillId="7" borderId="2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9" fontId="0" fillId="2" borderId="0" xfId="0" applyNumberFormat="1" applyFill="1"/>
    <xf numFmtId="9" fontId="0" fillId="2" borderId="0" xfId="1" applyFont="1" applyFill="1"/>
    <xf numFmtId="0" fontId="0" fillId="2" borderId="0" xfId="0" applyFill="1" applyAlignment="1">
      <alignment horizontal="center" vertical="center"/>
    </xf>
    <xf numFmtId="9" fontId="0" fillId="2" borderId="0" xfId="1" applyFont="1" applyFill="1" applyAlignment="1">
      <alignment horizontal="center" vertical="center"/>
    </xf>
    <xf numFmtId="4" fontId="0" fillId="8" borderId="2" xfId="0" applyNumberFormat="1" applyFont="1" applyFill="1" applyBorder="1" applyAlignment="1">
      <alignment horizontal="center" vertical="center"/>
    </xf>
    <xf numFmtId="9" fontId="1" fillId="8" borderId="2" xfId="1" applyFont="1" applyFill="1" applyBorder="1" applyAlignment="1">
      <alignment horizontal="center" vertical="center"/>
    </xf>
    <xf numFmtId="164" fontId="0" fillId="8" borderId="2" xfId="0" applyNumberFormat="1" applyFont="1" applyFill="1" applyBorder="1" applyAlignment="1">
      <alignment horizontal="center" vertical="center"/>
    </xf>
    <xf numFmtId="2" fontId="0" fillId="7" borderId="2" xfId="0" applyNumberFormat="1" applyFont="1" applyFill="1" applyBorder="1" applyAlignment="1">
      <alignment horizontal="center" vertical="center"/>
    </xf>
    <xf numFmtId="10" fontId="1" fillId="7" borderId="2" xfId="1" applyNumberFormat="1" applyFont="1" applyFill="1" applyBorder="1" applyAlignment="1">
      <alignment horizontal="center" vertical="center"/>
    </xf>
    <xf numFmtId="0" fontId="0" fillId="2" borderId="0" xfId="0" applyFont="1" applyFill="1"/>
    <xf numFmtId="164" fontId="2" fillId="7" borderId="2" xfId="0" applyNumberFormat="1" applyFont="1" applyFill="1" applyBorder="1" applyAlignment="1">
      <alignment horizontal="center" vertical="center"/>
    </xf>
    <xf numFmtId="4" fontId="2" fillId="8" borderId="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12" fillId="9" borderId="0" xfId="0" applyFont="1" applyFill="1" applyAlignment="1">
      <alignment horizontal="left" vertical="center" wrapText="1"/>
    </xf>
    <xf numFmtId="4" fontId="13" fillId="10" borderId="2" xfId="0" applyNumberFormat="1" applyFont="1" applyFill="1" applyBorder="1" applyAlignment="1">
      <alignment horizontal="center" vertical="center"/>
    </xf>
    <xf numFmtId="0" fontId="2" fillId="11" borderId="0" xfId="0" applyFont="1" applyFill="1" applyAlignment="1">
      <alignment horizontal="left" vertical="center" wrapText="1"/>
    </xf>
    <xf numFmtId="0" fontId="0" fillId="11" borderId="0" xfId="0" applyFill="1"/>
    <xf numFmtId="4" fontId="0" fillId="2" borderId="0" xfId="0" applyNumberFormat="1" applyFill="1"/>
    <xf numFmtId="1" fontId="0" fillId="2" borderId="0" xfId="0" applyNumberFormat="1" applyFill="1"/>
    <xf numFmtId="37" fontId="0" fillId="2" borderId="2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0" fontId="14" fillId="12" borderId="5" xfId="0" applyFont="1" applyFill="1" applyBorder="1" applyAlignment="1">
      <alignment horizontal="center" vertical="center" wrapText="1"/>
    </xf>
    <xf numFmtId="0" fontId="14" fillId="12" borderId="6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left"/>
    </xf>
    <xf numFmtId="0" fontId="15" fillId="0" borderId="0" xfId="4"/>
  </cellXfs>
  <cellStyles count="5">
    <cellStyle name="Body text" xfId="2" xr:uid="{00000000-0005-0000-0000-000000000000}"/>
    <cellStyle name="Hyperlink" xfId="4" builtinId="8"/>
    <cellStyle name="Normal" xfId="0" builtinId="0"/>
    <cellStyle name="Normale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Results!$E$6</c:f>
              <c:strCache>
                <c:ptCount val="1"/>
                <c:pt idx="0">
                  <c:v>FISCAL IMPACT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Results!$C$7:$C$17</c:f>
              <c:numCache>
                <c:formatCode>#,##0_);\(#,##0\)</c:formatCode>
                <c:ptCount val="11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</c:numCache>
            </c:numRef>
          </c:xVal>
          <c:yVal>
            <c:numRef>
              <c:f>Results!$E$7:$E$17</c:f>
              <c:numCache>
                <c:formatCode>"€"\ #,##0;\-"€"\ #,##0</c:formatCode>
                <c:ptCount val="11"/>
                <c:pt idx="0">
                  <c:v>1955890171.6992011</c:v>
                </c:pt>
                <c:pt idx="1">
                  <c:v>1818977859.6802571</c:v>
                </c:pt>
                <c:pt idx="2">
                  <c:v>1691649409.5026388</c:v>
                </c:pt>
                <c:pt idx="3">
                  <c:v>1573233950.8374541</c:v>
                </c:pt>
                <c:pt idx="4">
                  <c:v>1463107574.2788322</c:v>
                </c:pt>
                <c:pt idx="5">
                  <c:v>1360690044.079314</c:v>
                </c:pt>
                <c:pt idx="6">
                  <c:v>1265441740.9937618</c:v>
                </c:pt>
                <c:pt idx="7">
                  <c:v>1176860819.1241984</c:v>
                </c:pt>
                <c:pt idx="8">
                  <c:v>1094480561.7855043</c:v>
                </c:pt>
                <c:pt idx="9">
                  <c:v>1017866922.4605191</c:v>
                </c:pt>
                <c:pt idx="10">
                  <c:v>946616237.88828266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DA0-C449-9573-FE0C362FE0AF}"/>
            </c:ext>
          </c:extLst>
        </c:ser>
        <c:ser>
          <c:idx val="4"/>
          <c:order val="1"/>
          <c:tx>
            <c:strRef>
              <c:f>Results!$H$6</c:f>
              <c:strCache>
                <c:ptCount val="1"/>
                <c:pt idx="0">
                  <c:v>INCREASE IN TAX REVENUE (CUMULATIVE)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Results!$C$7:$C$17</c:f>
              <c:numCache>
                <c:formatCode>#,##0_);\(#,##0\)</c:formatCode>
                <c:ptCount val="11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</c:numCache>
            </c:numRef>
          </c:xVal>
          <c:yVal>
            <c:numRef>
              <c:f>Results!$H$7:$H$17</c:f>
              <c:numCache>
                <c:formatCode>"€"\ #,##0;\-"€"\ #,##0</c:formatCode>
                <c:ptCount val="11"/>
                <c:pt idx="1">
                  <c:v>136912312.01894403</c:v>
                </c:pt>
                <c:pt idx="2">
                  <c:v>264240762.19656229</c:v>
                </c:pt>
                <c:pt idx="3">
                  <c:v>382656220.86174703</c:v>
                </c:pt>
                <c:pt idx="4">
                  <c:v>492782597.42036891</c:v>
                </c:pt>
                <c:pt idx="5">
                  <c:v>595200127.61988711</c:v>
                </c:pt>
                <c:pt idx="6">
                  <c:v>690448430.70543933</c:v>
                </c:pt>
                <c:pt idx="7">
                  <c:v>779029352.57500267</c:v>
                </c:pt>
                <c:pt idx="8">
                  <c:v>861409609.91369677</c:v>
                </c:pt>
                <c:pt idx="9">
                  <c:v>938023249.23868203</c:v>
                </c:pt>
                <c:pt idx="10">
                  <c:v>1009273933.8109185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DA0-C449-9573-FE0C362FE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2126176"/>
        <c:axId val="1162749344"/>
      </c:scatterChart>
      <c:valAx>
        <c:axId val="1162126176"/>
        <c:scaling>
          <c:orientation val="minMax"/>
        </c:scaling>
        <c:delete val="0"/>
        <c:axPos val="b"/>
        <c:numFmt formatCode="#,##0_);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749344"/>
        <c:crosses val="autoZero"/>
        <c:crossBetween val="midCat"/>
      </c:valAx>
      <c:valAx>
        <c:axId val="1162749344"/>
        <c:scaling>
          <c:orientation val="minMax"/>
        </c:scaling>
        <c:delete val="0"/>
        <c:axPos val="l"/>
        <c:numFmt formatCode="&quot;€&quot;\ #,##0;\-&quot;€&quot;\ 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126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85095998274188E-2"/>
          <c:y val="4.5081967213114756E-2"/>
          <c:w val="0.88550520440081981"/>
          <c:h val="0.8015144572092424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'Determinist analysis'!$D$20</c:f>
              <c:strCache>
                <c:ptCount val="1"/>
                <c:pt idx="0">
                  <c:v>FISCAL IMPACT (BASE CASE)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'Determinist analysis'!$C$21:$C$31</c:f>
              <c:numCache>
                <c:formatCode>#,##0_);\(#,##0\)</c:formatCode>
                <c:ptCount val="11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</c:numCache>
            </c:numRef>
          </c:xVal>
          <c:yVal>
            <c:numRef>
              <c:f>'Determinist analysis'!$D$21:$D$31</c:f>
              <c:numCache>
                <c:formatCode>#,##0_);\(#,##0\)</c:formatCode>
                <c:ptCount val="11"/>
                <c:pt idx="0">
                  <c:v>771736.96799999999</c:v>
                </c:pt>
                <c:pt idx="1">
                  <c:v>717715.38023999997</c:v>
                </c:pt>
                <c:pt idx="2">
                  <c:v>667475.30362319993</c:v>
                </c:pt>
                <c:pt idx="3">
                  <c:v>620752.03236957593</c:v>
                </c:pt>
                <c:pt idx="4">
                  <c:v>577299.39010370558</c:v>
                </c:pt>
                <c:pt idx="5">
                  <c:v>536888.43279644614</c:v>
                </c:pt>
                <c:pt idx="6">
                  <c:v>499306.24250069488</c:v>
                </c:pt>
                <c:pt idx="7">
                  <c:v>464354.8055256462</c:v>
                </c:pt>
                <c:pt idx="8">
                  <c:v>431849.96913885092</c:v>
                </c:pt>
                <c:pt idx="9">
                  <c:v>401620.47129913134</c:v>
                </c:pt>
                <c:pt idx="10">
                  <c:v>373507.0383081921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06B-A54F-81F0-26403A810B81}"/>
            </c:ext>
          </c:extLst>
        </c:ser>
        <c:ser>
          <c:idx val="1"/>
          <c:order val="1"/>
          <c:tx>
            <c:strRef>
              <c:f>'Determinist analysis'!$E$20</c:f>
              <c:strCache>
                <c:ptCount val="1"/>
                <c:pt idx="0">
                  <c:v>10TH percentile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'Determinist analysis'!$C$21:$C$31</c:f>
              <c:numCache>
                <c:formatCode>#,##0_);\(#,##0\)</c:formatCode>
                <c:ptCount val="11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</c:numCache>
            </c:numRef>
          </c:xVal>
          <c:yVal>
            <c:numRef>
              <c:f>'Determinist analysis'!$E$21:$E$31</c:f>
              <c:numCache>
                <c:formatCode>"€"\ #,##0;\-"€"\ #,##0</c:formatCode>
                <c:ptCount val="11"/>
                <c:pt idx="0">
                  <c:v>613493.65287535312</c:v>
                </c:pt>
                <c:pt idx="1">
                  <c:v>570549.09717407834</c:v>
                </c:pt>
                <c:pt idx="2">
                  <c:v>530610.66037189285</c:v>
                </c:pt>
                <c:pt idx="3">
                  <c:v>493467.9141458603</c:v>
                </c:pt>
                <c:pt idx="4">
                  <c:v>458925.16015565005</c:v>
                </c:pt>
                <c:pt idx="5">
                  <c:v>426800.3989447545</c:v>
                </c:pt>
                <c:pt idx="6">
                  <c:v>396924.37101862166</c:v>
                </c:pt>
                <c:pt idx="7">
                  <c:v>369139.66504731809</c:v>
                </c:pt>
                <c:pt idx="8">
                  <c:v>343299.88849400583</c:v>
                </c:pt>
                <c:pt idx="9">
                  <c:v>319268.8962994254</c:v>
                </c:pt>
                <c:pt idx="10">
                  <c:v>296920.07355846558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06B-A54F-81F0-26403A810B81}"/>
            </c:ext>
          </c:extLst>
        </c:ser>
        <c:ser>
          <c:idx val="2"/>
          <c:order val="2"/>
          <c:tx>
            <c:strRef>
              <c:f>'Determinist analysis'!$F$20</c:f>
              <c:strCache>
                <c:ptCount val="1"/>
                <c:pt idx="0">
                  <c:v>25TH percentile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'Determinist analysis'!$C$21:$C$31</c:f>
              <c:numCache>
                <c:formatCode>#,##0_);\(#,##0\)</c:formatCode>
                <c:ptCount val="11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</c:numCache>
            </c:numRef>
          </c:xVal>
          <c:yVal>
            <c:numRef>
              <c:f>'Determinist analysis'!$F$21:$F$31</c:f>
              <c:numCache>
                <c:formatCode>"€"\ #,##0;\-"€"\ #,##0</c:formatCode>
                <c:ptCount val="11"/>
                <c:pt idx="0">
                  <c:v>705529.73909203545</c:v>
                </c:pt>
                <c:pt idx="1">
                  <c:v>656142.65735559294</c:v>
                </c:pt>
                <c:pt idx="2">
                  <c:v>610212.6713407014</c:v>
                </c:pt>
                <c:pt idx="3">
                  <c:v>567497.78434685222</c:v>
                </c:pt>
                <c:pt idx="4">
                  <c:v>527772.93944257253</c:v>
                </c:pt>
                <c:pt idx="5">
                  <c:v>490828.83368159243</c:v>
                </c:pt>
                <c:pt idx="6">
                  <c:v>456470.81532388093</c:v>
                </c:pt>
                <c:pt idx="7">
                  <c:v>424517.85825120925</c:v>
                </c:pt>
                <c:pt idx="8">
                  <c:v>394801.60817362455</c:v>
                </c:pt>
                <c:pt idx="9">
                  <c:v>367165.49560147082</c:v>
                </c:pt>
                <c:pt idx="10">
                  <c:v>341463.91090936784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06B-A54F-81F0-26403A810B81}"/>
            </c:ext>
          </c:extLst>
        </c:ser>
        <c:ser>
          <c:idx val="3"/>
          <c:order val="3"/>
          <c:tx>
            <c:strRef>
              <c:f>'Determinist analysis'!$G$20</c:f>
              <c:strCache>
                <c:ptCount val="1"/>
                <c:pt idx="0">
                  <c:v>50TH percentile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'Determinist analysis'!$C$21:$C$31</c:f>
              <c:numCache>
                <c:formatCode>#,##0_);\(#,##0\)</c:formatCode>
                <c:ptCount val="11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</c:numCache>
            </c:numRef>
          </c:xVal>
          <c:yVal>
            <c:numRef>
              <c:f>'Determinist analysis'!$G$21:$G$31</c:f>
              <c:numCache>
                <c:formatCode>"€"\ #,##0;\-"€"\ #,##0</c:formatCode>
                <c:ptCount val="11"/>
                <c:pt idx="0">
                  <c:v>771736.96799999999</c:v>
                </c:pt>
                <c:pt idx="1">
                  <c:v>717715.38023999997</c:v>
                </c:pt>
                <c:pt idx="2">
                  <c:v>667475.30362319993</c:v>
                </c:pt>
                <c:pt idx="3">
                  <c:v>620752.03236957593</c:v>
                </c:pt>
                <c:pt idx="4">
                  <c:v>577299.39010370558</c:v>
                </c:pt>
                <c:pt idx="5">
                  <c:v>536888.43279644614</c:v>
                </c:pt>
                <c:pt idx="6">
                  <c:v>499306.24250069488</c:v>
                </c:pt>
                <c:pt idx="7">
                  <c:v>464354.8055256462</c:v>
                </c:pt>
                <c:pt idx="8">
                  <c:v>431849.96913885092</c:v>
                </c:pt>
                <c:pt idx="9">
                  <c:v>401620.47129913134</c:v>
                </c:pt>
                <c:pt idx="10">
                  <c:v>373507.0383081921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06B-A54F-81F0-26403A810B81}"/>
            </c:ext>
          </c:extLst>
        </c:ser>
        <c:ser>
          <c:idx val="4"/>
          <c:order val="4"/>
          <c:tx>
            <c:strRef>
              <c:f>'Determinist analysis'!$H$20</c:f>
              <c:strCache>
                <c:ptCount val="1"/>
                <c:pt idx="0">
                  <c:v>75TH percentile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'Determinist analysis'!$C$21:$C$31</c:f>
              <c:numCache>
                <c:formatCode>#,##0_);\(#,##0\)</c:formatCode>
                <c:ptCount val="11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</c:numCache>
            </c:numRef>
          </c:xVal>
          <c:yVal>
            <c:numRef>
              <c:f>'Determinist analysis'!$H$21:$H$31</c:f>
              <c:numCache>
                <c:formatCode>"€"\ #,##0;\-"€"\ #,##0</c:formatCode>
                <c:ptCount val="11"/>
                <c:pt idx="0">
                  <c:v>855021.55596214428</c:v>
                </c:pt>
                <c:pt idx="1">
                  <c:v>795170.04704479408</c:v>
                </c:pt>
                <c:pt idx="2">
                  <c:v>739508.1437516585</c:v>
                </c:pt>
                <c:pt idx="3">
                  <c:v>687742.57368904236</c:v>
                </c:pt>
                <c:pt idx="4">
                  <c:v>639600.59353080939</c:v>
                </c:pt>
                <c:pt idx="5">
                  <c:v>594828.55198365264</c:v>
                </c:pt>
                <c:pt idx="6">
                  <c:v>553190.55334479699</c:v>
                </c:pt>
                <c:pt idx="7">
                  <c:v>514467.21461066115</c:v>
                </c:pt>
                <c:pt idx="8">
                  <c:v>478454.5095879148</c:v>
                </c:pt>
                <c:pt idx="9">
                  <c:v>444962.69391676073</c:v>
                </c:pt>
                <c:pt idx="10">
                  <c:v>413815.30534258747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06B-A54F-81F0-26403A810B81}"/>
            </c:ext>
          </c:extLst>
        </c:ser>
        <c:ser>
          <c:idx val="5"/>
          <c:order val="5"/>
          <c:tx>
            <c:strRef>
              <c:f>'Determinist analysis'!$I$20</c:f>
              <c:strCache>
                <c:ptCount val="1"/>
                <c:pt idx="0">
                  <c:v>90TH percentile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'Determinist analysis'!$C$21:$C$31</c:f>
              <c:numCache>
                <c:formatCode>#,##0_);\(#,##0\)</c:formatCode>
                <c:ptCount val="11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</c:numCache>
            </c:numRef>
          </c:xVal>
          <c:yVal>
            <c:numRef>
              <c:f>'Determinist analysis'!$I$21:$I$31</c:f>
              <c:numCache>
                <c:formatCode>"€"\ #,##0;\-"€"\ #,##0</c:formatCode>
                <c:ptCount val="11"/>
                <c:pt idx="0">
                  <c:v>947057.64217882662</c:v>
                </c:pt>
                <c:pt idx="1">
                  <c:v>880763.60722630867</c:v>
                </c:pt>
                <c:pt idx="2">
                  <c:v>819110.15472046705</c:v>
                </c:pt>
                <c:pt idx="3">
                  <c:v>761772.44389003434</c:v>
                </c:pt>
                <c:pt idx="4">
                  <c:v>708448.37281773193</c:v>
                </c:pt>
                <c:pt idx="5">
                  <c:v>658856.98672049062</c:v>
                </c:pt>
                <c:pt idx="6">
                  <c:v>612736.99765005626</c:v>
                </c:pt>
                <c:pt idx="7">
                  <c:v>569845.40781455231</c:v>
                </c:pt>
                <c:pt idx="8">
                  <c:v>529956.22926753352</c:v>
                </c:pt>
                <c:pt idx="9">
                  <c:v>492859.29321880615</c:v>
                </c:pt>
                <c:pt idx="10">
                  <c:v>458359.14269348967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06B-A54F-81F0-26403A810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719984"/>
        <c:axId val="560892320"/>
      </c:scatterChart>
      <c:valAx>
        <c:axId val="560719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892320"/>
        <c:crosses val="autoZero"/>
        <c:crossBetween val="midCat"/>
      </c:valAx>
      <c:valAx>
        <c:axId val="56089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719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054336101822889E-2"/>
          <c:y val="0.92114560475022589"/>
          <c:w val="0.97646667026210776"/>
          <c:h val="5.42642313153478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Style="combo" dx="16" noThreeD="1" sel="0" val="0"/>
</file>

<file path=xl/ctrlProps/ctrlProp10.xml><?xml version="1.0" encoding="utf-8"?>
<formControlPr xmlns="http://schemas.microsoft.com/office/spreadsheetml/2009/9/main" objectType="Drop" dropStyle="combo" dx="16" fmlaLink="$AP$107" fmlaRange="$AP$4:$AQ$104" noThreeD="1" sel="51" val="47"/>
</file>

<file path=xl/ctrlProps/ctrlProp11.xml><?xml version="1.0" encoding="utf-8"?>
<formControlPr xmlns="http://schemas.microsoft.com/office/spreadsheetml/2009/9/main" objectType="Drop" dropStyle="combo" dx="16" fmlaLink="$AS$107" fmlaRange="$AS$4:$AT$104" noThreeD="1" sel="51" val="48"/>
</file>

<file path=xl/ctrlProps/ctrlProp12.xml><?xml version="1.0" encoding="utf-8"?>
<formControlPr xmlns="http://schemas.microsoft.com/office/spreadsheetml/2009/9/main" objectType="Drop" dropStyle="combo" dx="16" fmlaLink="$AV$107" fmlaRange="$AV$4:$AW$104" noThreeD="1" sel="41" val="38"/>
</file>

<file path=xl/ctrlProps/ctrlProp13.xml><?xml version="1.0" encoding="utf-8"?>
<formControlPr xmlns="http://schemas.microsoft.com/office/spreadsheetml/2009/9/main" objectType="Drop" dropStyle="combo" dx="16" fmlaLink="$AY$107" fmlaRange="$AY$4:$AZ$104" noThreeD="1" sel="41" val="38"/>
</file>

<file path=xl/ctrlProps/ctrlProp14.xml><?xml version="1.0" encoding="utf-8"?>
<formControlPr xmlns="http://schemas.microsoft.com/office/spreadsheetml/2009/9/main" objectType="Drop" dropStyle="combo" dx="16" fmlaLink="$AS$107" fmlaRange="$AS$4:$AT$104" noThreeD="1" sel="51" val="50"/>
</file>

<file path=xl/ctrlProps/ctrlProp15.xml><?xml version="1.0" encoding="utf-8"?>
<formControlPr xmlns="http://schemas.microsoft.com/office/spreadsheetml/2009/9/main" objectType="Drop" dropStyle="combo" dx="16" fmlaLink="$AV$107" fmlaRange="$AV$4:$AW$104" noThreeD="1" sel="41" val="38"/>
</file>

<file path=xl/ctrlProps/ctrlProp16.xml><?xml version="1.0" encoding="utf-8"?>
<formControlPr xmlns="http://schemas.microsoft.com/office/spreadsheetml/2009/9/main" objectType="Drop" dropStyle="combo" dx="16" fmlaLink="$AY$107" fmlaRange="$AY$4:$AZ$104" noThreeD="1" sel="41" val="38"/>
</file>

<file path=xl/ctrlProps/ctrlProp17.xml><?xml version="1.0" encoding="utf-8"?>
<formControlPr xmlns="http://schemas.microsoft.com/office/spreadsheetml/2009/9/main" objectType="CheckBox" fmlaLink="$P$43" lockText="1" noThreeD="1"/>
</file>

<file path=xl/ctrlProps/ctrlProp18.xml><?xml version="1.0" encoding="utf-8"?>
<formControlPr xmlns="http://schemas.microsoft.com/office/spreadsheetml/2009/9/main" objectType="CheckBox" checked="Checked" fmlaLink="$P$52" lockText="1" noThreeD="1"/>
</file>

<file path=xl/ctrlProps/ctrlProp19.xml><?xml version="1.0" encoding="utf-8"?>
<formControlPr xmlns="http://schemas.microsoft.com/office/spreadsheetml/2009/9/main" objectType="Drop" dropStyle="combo" dx="16" fmlaLink="$BB$107" fmlaRange="$BB$4:$BC$104" noThreeD="1" sel="41" val="38"/>
</file>

<file path=xl/ctrlProps/ctrlProp2.xml><?xml version="1.0" encoding="utf-8"?>
<formControlPr xmlns="http://schemas.microsoft.com/office/spreadsheetml/2009/9/main" objectType="Drop" dropStyle="combo" dx="16" fmlaLink="$Y$34" fmlaRange="$Z$4:$AA$31" noThreeD="1" sel="16" val="12"/>
</file>

<file path=xl/ctrlProps/ctrlProp20.xml><?xml version="1.0" encoding="utf-8"?>
<formControlPr xmlns="http://schemas.microsoft.com/office/spreadsheetml/2009/9/main" objectType="CheckBox" checked="Checked" fmlaLink="$O$5" lockText="1" noThreeD="1"/>
</file>

<file path=xl/ctrlProps/ctrlProp21.xml><?xml version="1.0" encoding="utf-8"?>
<formControlPr xmlns="http://schemas.microsoft.com/office/spreadsheetml/2009/9/main" objectType="Drop" dropStyle="combo" dx="16" fmlaLink="$AA$107" fmlaRange="'Resource Use'!$AA$4:$AB$104" noThreeD="1" sel="8" val="0"/>
</file>

<file path=xl/ctrlProps/ctrlProp22.xml><?xml version="1.0" encoding="utf-8"?>
<formControlPr xmlns="http://schemas.microsoft.com/office/spreadsheetml/2009/9/main" objectType="Drop" dropStyle="combo" dx="16" fmlaLink="$W$107" fmlaRange="'Determinist analysis'!$W$4:$X$104" noThreeD="1" sel="17" val="11"/>
</file>

<file path=xl/ctrlProps/ctrlProp3.xml><?xml version="1.0" encoding="utf-8"?>
<formControlPr xmlns="http://schemas.microsoft.com/office/spreadsheetml/2009/9/main" objectType="Drop" dropStyle="combo" dx="16" fmlaLink="$AD$34" fmlaRange="$AE$4:$AF$31" noThreeD="1" sel="16" val="11"/>
</file>

<file path=xl/ctrlProps/ctrlProp4.xml><?xml version="1.0" encoding="utf-8"?>
<formControlPr xmlns="http://schemas.microsoft.com/office/spreadsheetml/2009/9/main" objectType="CheckBox" checked="Checked" fmlaLink="$O$23" lockText="1" noThreeD="1"/>
</file>

<file path=xl/ctrlProps/ctrlProp5.xml><?xml version="1.0" encoding="utf-8"?>
<formControlPr xmlns="http://schemas.microsoft.com/office/spreadsheetml/2009/9/main" objectType="CheckBox" fmlaLink="$O$27" lockText="1" noThreeD="1"/>
</file>

<file path=xl/ctrlProps/ctrlProp6.xml><?xml version="1.0" encoding="utf-8"?>
<formControlPr xmlns="http://schemas.microsoft.com/office/spreadsheetml/2009/9/main" objectType="Drop" dropStyle="combo" dx="16" fmlaLink="$X$34" fmlaRange="$Y$4:$Z$11" noThreeD="1" sel="6" val="0"/>
</file>

<file path=xl/ctrlProps/ctrlProp7.xml><?xml version="1.0" encoding="utf-8"?>
<formControlPr xmlns="http://schemas.microsoft.com/office/spreadsheetml/2009/9/main" objectType="Drop" dropStyle="combo" dx="16" fmlaLink="$AC$34" fmlaRange="$AD$4:$AE$22" noThreeD="1" sel="5" val="0"/>
</file>

<file path=xl/ctrlProps/ctrlProp8.xml><?xml version="1.0" encoding="utf-8"?>
<formControlPr xmlns="http://schemas.microsoft.com/office/spreadsheetml/2009/9/main" objectType="Drop" dropStyle="combo" dx="16" fmlaLink="$AG$59" fmlaRange="$AH$4:$AI$56" noThreeD="1" sel="49" val="45"/>
</file>

<file path=xl/ctrlProps/ctrlProp9.xml><?xml version="1.0" encoding="utf-8"?>
<formControlPr xmlns="http://schemas.microsoft.com/office/spreadsheetml/2009/9/main" objectType="Drop" dropStyle="combo" dx="16" fmlaLink="$AM$107" fmlaRange="$AM$4:$AN$104" noThreeD="1" sel="86" val="93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Description!A1"/><Relationship Id="rId2" Type="http://schemas.openxmlformats.org/officeDocument/2006/relationships/image" Target="../media/image1.jpg"/><Relationship Id="rId1" Type="http://schemas.openxmlformats.org/officeDocument/2006/relationships/hyperlink" Target="https://www.impact-hta.eu/work-package-9" TargetMode="External"/><Relationship Id="rId6" Type="http://schemas.openxmlformats.org/officeDocument/2006/relationships/image" Target="cid:image001.png@01D7465F.C1D13630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impact-hta.eu/work-package-9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impact-hta.eu/work-package-9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impact-hta.eu/work-package-9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impact-hta.eu/work-package-9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jpg"/><Relationship Id="rId1" Type="http://schemas.openxmlformats.org/officeDocument/2006/relationships/hyperlink" Target="https://www.impact-hta.eu/work-package-9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g"/><Relationship Id="rId1" Type="http://schemas.openxmlformats.org/officeDocument/2006/relationships/hyperlink" Target="https://www.impact-hta.eu/work-package-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190513</xdr:rowOff>
    </xdr:from>
    <xdr:to>
      <xdr:col>0</xdr:col>
      <xdr:colOff>2082800</xdr:colOff>
      <xdr:row>3</xdr:row>
      <xdr:rowOff>93988</xdr:rowOff>
    </xdr:to>
    <xdr:pic>
      <xdr:nvPicPr>
        <xdr:cNvPr id="2" name="image88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54000" y="190513"/>
          <a:ext cx="1828800" cy="513075"/>
        </a:xfrm>
        <a:prstGeom prst="rect">
          <a:avLst/>
        </a:prstGeom>
        <a:ln/>
      </xdr:spPr>
    </xdr:pic>
    <xdr:clientData/>
  </xdr:twoCellAnchor>
  <xdr:twoCellAnchor>
    <xdr:from>
      <xdr:col>3</xdr:col>
      <xdr:colOff>0</xdr:colOff>
      <xdr:row>6</xdr:row>
      <xdr:rowOff>0</xdr:rowOff>
    </xdr:from>
    <xdr:to>
      <xdr:col>11</xdr:col>
      <xdr:colOff>139700</xdr:colOff>
      <xdr:row>20</xdr:row>
      <xdr:rowOff>50800</xdr:rowOff>
    </xdr:to>
    <xdr:sp macro="" textlink="">
      <xdr:nvSpPr>
        <xdr:cNvPr id="3" name="Rettangolo con angoli arrotondati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00500" y="1219200"/>
          <a:ext cx="6743700" cy="2895600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4000" b="1">
              <a:latin typeface="Candara" panose="020E0502030303020204" pitchFamily="34" charset="0"/>
            </a:rPr>
            <a:t>Algorithm for the</a:t>
          </a:r>
        </a:p>
        <a:p>
          <a:pPr algn="ctr"/>
          <a:r>
            <a:rPr lang="it-IT" sz="4000" b="1">
              <a:latin typeface="Candara" panose="020E0502030303020204" pitchFamily="34" charset="0"/>
            </a:rPr>
            <a:t>estimation of the</a:t>
          </a:r>
        </a:p>
        <a:p>
          <a:pPr algn="ctr"/>
          <a:r>
            <a:rPr lang="it-IT" sz="4000" b="1">
              <a:latin typeface="Candara" panose="020E0502030303020204" pitchFamily="34" charset="0"/>
            </a:rPr>
            <a:t>fiscal impact of new</a:t>
          </a:r>
        </a:p>
        <a:p>
          <a:pPr algn="ctr"/>
          <a:r>
            <a:rPr lang="it-IT" sz="4000" b="1">
              <a:latin typeface="Candara" panose="020E0502030303020204" pitchFamily="34" charset="0"/>
            </a:rPr>
            <a:t>technologies</a:t>
          </a:r>
        </a:p>
      </xdr:txBody>
    </xdr:sp>
    <xdr:clientData/>
  </xdr:twoCellAnchor>
  <xdr:twoCellAnchor editAs="oneCell">
    <xdr:from>
      <xdr:col>1</xdr:col>
      <xdr:colOff>25400</xdr:colOff>
      <xdr:row>28</xdr:row>
      <xdr:rowOff>12700</xdr:rowOff>
    </xdr:from>
    <xdr:to>
      <xdr:col>13</xdr:col>
      <xdr:colOff>787400</xdr:colOff>
      <xdr:row>32</xdr:row>
      <xdr:rowOff>12700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74900" y="5702300"/>
          <a:ext cx="10668000" cy="81280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33</xdr:row>
      <xdr:rowOff>28575</xdr:rowOff>
    </xdr:from>
    <xdr:to>
      <xdr:col>3</xdr:col>
      <xdr:colOff>9525</xdr:colOff>
      <xdr:row>35</xdr:row>
      <xdr:rowOff>55880</xdr:rowOff>
    </xdr:to>
    <xdr:pic>
      <xdr:nvPicPr>
        <xdr:cNvPr id="7" name="Picture 6" descr="by">
          <a:extLst>
            <a:ext uri="{FF2B5EF4-FFF2-40B4-BE49-F238E27FC236}">
              <a16:creationId xmlns:a16="http://schemas.microsoft.com/office/drawing/2014/main" id="{5CD3D481-634D-4AAE-A231-A82B9E2FD8CE}"/>
            </a:ext>
          </a:extLst>
        </xdr:cNvPr>
        <xdr:cNvPicPr/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6629400"/>
          <a:ext cx="1228725" cy="4273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190513</xdr:rowOff>
    </xdr:from>
    <xdr:to>
      <xdr:col>0</xdr:col>
      <xdr:colOff>2082800</xdr:colOff>
      <xdr:row>3</xdr:row>
      <xdr:rowOff>17788</xdr:rowOff>
    </xdr:to>
    <xdr:pic>
      <xdr:nvPicPr>
        <xdr:cNvPr id="2" name="image88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54000" y="190513"/>
          <a:ext cx="1828800" cy="513075"/>
        </a:xfrm>
        <a:prstGeom prst="rect">
          <a:avLst/>
        </a:prstGeom>
        <a:ln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9525</xdr:rowOff>
        </xdr:from>
        <xdr:to>
          <xdr:col>3</xdr:col>
          <xdr:colOff>9525</xdr:colOff>
          <xdr:row>34</xdr:row>
          <xdr:rowOff>38100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190513</xdr:rowOff>
    </xdr:from>
    <xdr:to>
      <xdr:col>0</xdr:col>
      <xdr:colOff>2082800</xdr:colOff>
      <xdr:row>3</xdr:row>
      <xdr:rowOff>93988</xdr:rowOff>
    </xdr:to>
    <xdr:pic>
      <xdr:nvPicPr>
        <xdr:cNvPr id="2" name="image88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54000" y="190513"/>
          <a:ext cx="1828800" cy="513075"/>
        </a:xfrm>
        <a:prstGeom prst="rect">
          <a:avLst/>
        </a:prstGeom>
        <a:ln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161925</xdr:rowOff>
        </xdr:from>
        <xdr:to>
          <xdr:col>4</xdr:col>
          <xdr:colOff>9525</xdr:colOff>
          <xdr:row>6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4</xdr:col>
          <xdr:colOff>9525</xdr:colOff>
          <xdr:row>15</xdr:row>
          <xdr:rowOff>28575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28</xdr:row>
          <xdr:rowOff>104775</xdr:rowOff>
        </xdr:from>
        <xdr:to>
          <xdr:col>2</xdr:col>
          <xdr:colOff>38100</xdr:colOff>
          <xdr:row>30</xdr:row>
          <xdr:rowOff>85725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30</xdr:row>
          <xdr:rowOff>114300</xdr:rowOff>
        </xdr:from>
        <xdr:to>
          <xdr:col>2</xdr:col>
          <xdr:colOff>47625</xdr:colOff>
          <xdr:row>32</xdr:row>
          <xdr:rowOff>85725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190513</xdr:rowOff>
    </xdr:from>
    <xdr:to>
      <xdr:col>0</xdr:col>
      <xdr:colOff>2082800</xdr:colOff>
      <xdr:row>3</xdr:row>
      <xdr:rowOff>93988</xdr:rowOff>
    </xdr:to>
    <xdr:pic>
      <xdr:nvPicPr>
        <xdr:cNvPr id="2" name="image88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54000" y="190513"/>
          <a:ext cx="1828800" cy="503550"/>
        </a:xfrm>
        <a:prstGeom prst="rect">
          <a:avLst/>
        </a:prstGeom>
        <a:ln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4</xdr:col>
          <xdr:colOff>9525</xdr:colOff>
          <xdr:row>8</xdr:row>
          <xdr:rowOff>28575</xdr:rowOff>
        </xdr:to>
        <xdr:sp macro="" textlink="">
          <xdr:nvSpPr>
            <xdr:cNvPr id="9219" name="Drop Down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4</xdr:col>
          <xdr:colOff>9525</xdr:colOff>
          <xdr:row>12</xdr:row>
          <xdr:rowOff>28575</xdr:rowOff>
        </xdr:to>
        <xdr:sp macro="" textlink="">
          <xdr:nvSpPr>
            <xdr:cNvPr id="9220" name="Drop Down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3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9525</xdr:colOff>
          <xdr:row>16</xdr:row>
          <xdr:rowOff>28575</xdr:rowOff>
        </xdr:to>
        <xdr:sp macro="" textlink="">
          <xdr:nvSpPr>
            <xdr:cNvPr id="9221" name="Drop Dow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254000</xdr:colOff>
      <xdr:row>0</xdr:row>
      <xdr:rowOff>190513</xdr:rowOff>
    </xdr:from>
    <xdr:to>
      <xdr:col>0</xdr:col>
      <xdr:colOff>2082800</xdr:colOff>
      <xdr:row>3</xdr:row>
      <xdr:rowOff>93988</xdr:rowOff>
    </xdr:to>
    <xdr:pic>
      <xdr:nvPicPr>
        <xdr:cNvPr id="8" name="image88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54000" y="190513"/>
          <a:ext cx="1828800" cy="503550"/>
        </a:xfrm>
        <a:prstGeom prst="rect">
          <a:avLst/>
        </a:prstGeom>
        <a:ln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4</xdr:col>
          <xdr:colOff>9525</xdr:colOff>
          <xdr:row>29</xdr:row>
          <xdr:rowOff>28575</xdr:rowOff>
        </xdr:to>
        <xdr:sp macro="" textlink="">
          <xdr:nvSpPr>
            <xdr:cNvPr id="9222" name="Drop Down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3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0</xdr:rowOff>
        </xdr:from>
        <xdr:to>
          <xdr:col>4</xdr:col>
          <xdr:colOff>9525</xdr:colOff>
          <xdr:row>44</xdr:row>
          <xdr:rowOff>28575</xdr:rowOff>
        </xdr:to>
        <xdr:sp macro="" textlink="">
          <xdr:nvSpPr>
            <xdr:cNvPr id="9223" name="Drop Down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3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57</xdr:row>
          <xdr:rowOff>0</xdr:rowOff>
        </xdr:from>
        <xdr:to>
          <xdr:col>4</xdr:col>
          <xdr:colOff>9525</xdr:colOff>
          <xdr:row>58</xdr:row>
          <xdr:rowOff>28575</xdr:rowOff>
        </xdr:to>
        <xdr:sp macro="" textlink="">
          <xdr:nvSpPr>
            <xdr:cNvPr id="9227" name="Drop Down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3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63</xdr:row>
          <xdr:rowOff>0</xdr:rowOff>
        </xdr:from>
        <xdr:to>
          <xdr:col>4</xdr:col>
          <xdr:colOff>9525</xdr:colOff>
          <xdr:row>64</xdr:row>
          <xdr:rowOff>28575</xdr:rowOff>
        </xdr:to>
        <xdr:sp macro="" textlink="">
          <xdr:nvSpPr>
            <xdr:cNvPr id="9228" name="Drop Down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3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4</xdr:col>
          <xdr:colOff>9525</xdr:colOff>
          <xdr:row>70</xdr:row>
          <xdr:rowOff>28575</xdr:rowOff>
        </xdr:to>
        <xdr:sp macro="" textlink="">
          <xdr:nvSpPr>
            <xdr:cNvPr id="9229" name="Drop Down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3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77</xdr:row>
          <xdr:rowOff>0</xdr:rowOff>
        </xdr:from>
        <xdr:to>
          <xdr:col>4</xdr:col>
          <xdr:colOff>9525</xdr:colOff>
          <xdr:row>78</xdr:row>
          <xdr:rowOff>28575</xdr:rowOff>
        </xdr:to>
        <xdr:sp macro="" textlink="">
          <xdr:nvSpPr>
            <xdr:cNvPr id="9230" name="Drop Down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3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83</xdr:row>
          <xdr:rowOff>0</xdr:rowOff>
        </xdr:from>
        <xdr:to>
          <xdr:col>4</xdr:col>
          <xdr:colOff>9525</xdr:colOff>
          <xdr:row>84</xdr:row>
          <xdr:rowOff>28575</xdr:rowOff>
        </xdr:to>
        <xdr:sp macro="" textlink="">
          <xdr:nvSpPr>
            <xdr:cNvPr id="9231" name="Drop Down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3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89</xdr:row>
          <xdr:rowOff>0</xdr:rowOff>
        </xdr:from>
        <xdr:to>
          <xdr:col>4</xdr:col>
          <xdr:colOff>9525</xdr:colOff>
          <xdr:row>90</xdr:row>
          <xdr:rowOff>28575</xdr:rowOff>
        </xdr:to>
        <xdr:sp macro="" textlink="">
          <xdr:nvSpPr>
            <xdr:cNvPr id="9232" name="Drop Down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3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42</xdr:row>
          <xdr:rowOff>152400</xdr:rowOff>
        </xdr:from>
        <xdr:to>
          <xdr:col>1</xdr:col>
          <xdr:colOff>809625</xdr:colOff>
          <xdr:row>44</xdr:row>
          <xdr:rowOff>76200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3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50</xdr:row>
          <xdr:rowOff>123825</xdr:rowOff>
        </xdr:from>
        <xdr:to>
          <xdr:col>1</xdr:col>
          <xdr:colOff>733425</xdr:colOff>
          <xdr:row>52</xdr:row>
          <xdr:rowOff>104775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3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104</xdr:row>
          <xdr:rowOff>0</xdr:rowOff>
        </xdr:from>
        <xdr:to>
          <xdr:col>4</xdr:col>
          <xdr:colOff>9525</xdr:colOff>
          <xdr:row>105</xdr:row>
          <xdr:rowOff>28575</xdr:rowOff>
        </xdr:to>
        <xdr:sp macro="" textlink="">
          <xdr:nvSpPr>
            <xdr:cNvPr id="9236" name="Drop Down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3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190513</xdr:rowOff>
    </xdr:from>
    <xdr:to>
      <xdr:col>0</xdr:col>
      <xdr:colOff>2082800</xdr:colOff>
      <xdr:row>3</xdr:row>
      <xdr:rowOff>93988</xdr:rowOff>
    </xdr:to>
    <xdr:pic>
      <xdr:nvPicPr>
        <xdr:cNvPr id="2" name="image88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54000" y="190513"/>
          <a:ext cx="1828800" cy="513075"/>
        </a:xfrm>
        <a:prstGeom prst="rect">
          <a:avLst/>
        </a:prstGeom>
        <a:ln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</xdr:row>
          <xdr:rowOff>161925</xdr:rowOff>
        </xdr:from>
        <xdr:to>
          <xdr:col>2</xdr:col>
          <xdr:colOff>419100</xdr:colOff>
          <xdr:row>3</xdr:row>
          <xdr:rowOff>200025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190500</xdr:rowOff>
        </xdr:from>
        <xdr:to>
          <xdr:col>4</xdr:col>
          <xdr:colOff>2085975</xdr:colOff>
          <xdr:row>6</xdr:row>
          <xdr:rowOff>28575</xdr:rowOff>
        </xdr:to>
        <xdr:sp macro="" textlink="">
          <xdr:nvSpPr>
            <xdr:cNvPr id="5124" name="Drop Dow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190513</xdr:rowOff>
    </xdr:from>
    <xdr:to>
      <xdr:col>0</xdr:col>
      <xdr:colOff>2082800</xdr:colOff>
      <xdr:row>3</xdr:row>
      <xdr:rowOff>93988</xdr:rowOff>
    </xdr:to>
    <xdr:pic>
      <xdr:nvPicPr>
        <xdr:cNvPr id="2" name="image88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54000" y="190513"/>
          <a:ext cx="1828800" cy="513075"/>
        </a:xfrm>
        <a:prstGeom prst="rect">
          <a:avLst/>
        </a:prstGeom>
        <a:ln/>
      </xdr:spPr>
    </xdr:pic>
    <xdr:clientData/>
  </xdr:twoCellAnchor>
  <xdr:twoCellAnchor>
    <xdr:from>
      <xdr:col>2</xdr:col>
      <xdr:colOff>1225550</xdr:colOff>
      <xdr:row>20</xdr:row>
      <xdr:rowOff>19050</xdr:rowOff>
    </xdr:from>
    <xdr:to>
      <xdr:col>8</xdr:col>
      <xdr:colOff>965200</xdr:colOff>
      <xdr:row>42</xdr:row>
      <xdr:rowOff>63500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190513</xdr:rowOff>
    </xdr:from>
    <xdr:to>
      <xdr:col>0</xdr:col>
      <xdr:colOff>2082800</xdr:colOff>
      <xdr:row>3</xdr:row>
      <xdr:rowOff>93988</xdr:rowOff>
    </xdr:to>
    <xdr:pic>
      <xdr:nvPicPr>
        <xdr:cNvPr id="2" name="image88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54000" y="190513"/>
          <a:ext cx="1828800" cy="513075"/>
        </a:xfrm>
        <a:prstGeom prst="rect">
          <a:avLst/>
        </a:prstGeom>
        <a:ln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4</xdr:row>
          <xdr:rowOff>152400</xdr:rowOff>
        </xdr:from>
        <xdr:to>
          <xdr:col>4</xdr:col>
          <xdr:colOff>180975</xdr:colOff>
          <xdr:row>6</xdr:row>
          <xdr:rowOff>85725</xdr:rowOff>
        </xdr:to>
        <xdr:sp macro="" textlink="">
          <xdr:nvSpPr>
            <xdr:cNvPr id="12289" name="Drop Dow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533400</xdr:colOff>
      <xdr:row>4</xdr:row>
      <xdr:rowOff>152400</xdr:rowOff>
    </xdr:from>
    <xdr:to>
      <xdr:col>9</xdr:col>
      <xdr:colOff>12700</xdr:colOff>
      <xdr:row>18</xdr:row>
      <xdr:rowOff>101600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creativecommons.org/licenses/by/4.0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13" Type="http://schemas.openxmlformats.org/officeDocument/2006/relationships/ctrlProp" Target="../ctrlProps/ctrlProp1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12" Type="http://schemas.openxmlformats.org/officeDocument/2006/relationships/ctrlProp" Target="../ctrlProps/ctrlProp14.xml"/><Relationship Id="rId17" Type="http://schemas.openxmlformats.org/officeDocument/2006/relationships/ctrlProp" Target="../ctrlProps/ctrlProp19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5" Type="http://schemas.openxmlformats.org/officeDocument/2006/relationships/ctrlProp" Target="../ctrlProps/ctrlProp7.xml"/><Relationship Id="rId15" Type="http://schemas.openxmlformats.org/officeDocument/2006/relationships/ctrlProp" Target="../ctrlProps/ctrlProp17.xml"/><Relationship Id="rId10" Type="http://schemas.openxmlformats.org/officeDocument/2006/relationships/ctrlProp" Target="../ctrlProps/ctrlProp12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Relationship Id="rId14" Type="http://schemas.openxmlformats.org/officeDocument/2006/relationships/ctrlProp" Target="../ctrlProps/ctrlProp1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0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Relationship Id="rId4" Type="http://schemas.openxmlformats.org/officeDocument/2006/relationships/ctrlProp" Target="../ctrlProps/ctrlProp2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2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4:D35"/>
  <sheetViews>
    <sheetView showGridLines="0" showRowColHeaders="0" tabSelected="1" topLeftCell="A22" workbookViewId="0">
      <selection activeCell="D38" sqref="D38"/>
    </sheetView>
  </sheetViews>
  <sheetFormatPr defaultColWidth="10.875" defaultRowHeight="15.75" x14ac:dyDescent="0.25"/>
  <cols>
    <col min="1" max="1" width="30.875" style="2" customWidth="1"/>
    <col min="2" max="16384" width="10.875" style="1"/>
  </cols>
  <sheetData>
    <row r="34" spans="4:4" x14ac:dyDescent="0.25">
      <c r="D34" s="1" t="s">
        <v>412</v>
      </c>
    </row>
    <row r="35" spans="4:4" x14ac:dyDescent="0.25">
      <c r="D35" s="45" t="s">
        <v>411</v>
      </c>
    </row>
  </sheetData>
  <hyperlinks>
    <hyperlink ref="D35" r:id="rId1" display="http://creativecommons.org/licenses/by/4.0/" xr:uid="{142F2604-5A5C-4ED0-BF64-4AFF1DEBC1DE}"/>
  </hyperlinks>
  <pageMargins left="0.7" right="0.7" top="0.75" bottom="0.75" header="0.3" footer="0.3"/>
  <pageSetup paperSize="0" orientation="portrait" horizontalDpi="0" verticalDpi="0" copie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E36"/>
  <sheetViews>
    <sheetView showGridLines="0" showRowColHeaders="0" zoomScaleNormal="100" workbookViewId="0">
      <selection activeCell="A11" sqref="A11"/>
    </sheetView>
  </sheetViews>
  <sheetFormatPr defaultColWidth="10.875" defaultRowHeight="15.75" x14ac:dyDescent="0.25"/>
  <cols>
    <col min="1" max="1" width="30.875" style="2" customWidth="1"/>
    <col min="2" max="2" width="7" style="1" customWidth="1"/>
    <col min="3" max="3" width="10.875" style="1"/>
    <col min="4" max="4" width="1.625" style="1" customWidth="1"/>
    <col min="5" max="5" width="126.375" style="3" customWidth="1"/>
    <col min="6" max="16384" width="10.875" style="1"/>
  </cols>
  <sheetData>
    <row r="7" spans="1:5" x14ac:dyDescent="0.25">
      <c r="A7" s="5" t="s">
        <v>0</v>
      </c>
      <c r="E7" s="7" t="s">
        <v>409</v>
      </c>
    </row>
    <row r="8" spans="1:5" x14ac:dyDescent="0.25">
      <c r="A8" s="6"/>
    </row>
    <row r="9" spans="1:5" x14ac:dyDescent="0.25">
      <c r="A9" s="8" t="s">
        <v>1</v>
      </c>
    </row>
    <row r="10" spans="1:5" ht="16.5" thickBot="1" x14ac:dyDescent="0.3">
      <c r="A10" s="6"/>
      <c r="E10" s="4" t="s">
        <v>7</v>
      </c>
    </row>
    <row r="11" spans="1:5" x14ac:dyDescent="0.25">
      <c r="A11" s="5" t="s">
        <v>2</v>
      </c>
    </row>
    <row r="12" spans="1:5" x14ac:dyDescent="0.25">
      <c r="A12" s="6"/>
      <c r="E12" s="3" t="s">
        <v>410</v>
      </c>
    </row>
    <row r="13" spans="1:5" x14ac:dyDescent="0.25">
      <c r="A13" s="5" t="s">
        <v>3</v>
      </c>
    </row>
    <row r="14" spans="1:5" ht="16.5" thickBot="1" x14ac:dyDescent="0.3">
      <c r="A14" s="6"/>
      <c r="E14" s="4" t="s">
        <v>8</v>
      </c>
    </row>
    <row r="15" spans="1:5" x14ac:dyDescent="0.25">
      <c r="A15" s="5" t="s">
        <v>4</v>
      </c>
    </row>
    <row r="16" spans="1:5" x14ac:dyDescent="0.25">
      <c r="A16" s="6"/>
      <c r="E16" s="3" t="s">
        <v>9</v>
      </c>
    </row>
    <row r="17" spans="1:5" x14ac:dyDescent="0.25">
      <c r="A17" s="5" t="s">
        <v>5</v>
      </c>
    </row>
    <row r="18" spans="1:5" ht="16.5" thickBot="1" x14ac:dyDescent="0.3">
      <c r="A18" s="6"/>
      <c r="E18" s="4" t="s">
        <v>5</v>
      </c>
    </row>
    <row r="19" spans="1:5" x14ac:dyDescent="0.25">
      <c r="A19" s="5" t="s">
        <v>6</v>
      </c>
    </row>
    <row r="20" spans="1:5" x14ac:dyDescent="0.25">
      <c r="E20" s="1" t="s">
        <v>10</v>
      </c>
    </row>
    <row r="21" spans="1:5" x14ac:dyDescent="0.25">
      <c r="E21" s="1"/>
    </row>
    <row r="22" spans="1:5" ht="16.5" thickBot="1" x14ac:dyDescent="0.3">
      <c r="E22" s="4" t="s">
        <v>11</v>
      </c>
    </row>
    <row r="24" spans="1:5" x14ac:dyDescent="0.25">
      <c r="E24" s="1" t="s">
        <v>12</v>
      </c>
    </row>
    <row r="25" spans="1:5" x14ac:dyDescent="0.25">
      <c r="E25" s="1"/>
    </row>
    <row r="26" spans="1:5" ht="16.5" thickBot="1" x14ac:dyDescent="0.3">
      <c r="E26" s="4" t="s">
        <v>13</v>
      </c>
    </row>
    <row r="27" spans="1:5" x14ac:dyDescent="0.25">
      <c r="E27" s="1"/>
    </row>
    <row r="28" spans="1:5" x14ac:dyDescent="0.25">
      <c r="E28" s="1" t="s">
        <v>14</v>
      </c>
    </row>
    <row r="29" spans="1:5" x14ac:dyDescent="0.25">
      <c r="E29" s="1"/>
    </row>
    <row r="30" spans="1:5" ht="16.5" thickBot="1" x14ac:dyDescent="0.3">
      <c r="E30" s="4" t="s">
        <v>15</v>
      </c>
    </row>
    <row r="31" spans="1:5" x14ac:dyDescent="0.25">
      <c r="E31" s="1"/>
    </row>
    <row r="32" spans="1:5" x14ac:dyDescent="0.25">
      <c r="C32" s="10"/>
      <c r="E32" s="1" t="s">
        <v>16</v>
      </c>
    </row>
    <row r="33" spans="3:5" x14ac:dyDescent="0.25">
      <c r="E33" s="1"/>
    </row>
    <row r="34" spans="3:5" x14ac:dyDescent="0.25">
      <c r="E34" s="1" t="s">
        <v>267</v>
      </c>
    </row>
    <row r="35" spans="3:5" x14ac:dyDescent="0.25">
      <c r="E35" s="1"/>
    </row>
    <row r="36" spans="3:5" x14ac:dyDescent="0.25">
      <c r="C36" s="11"/>
      <c r="E36" s="1" t="s">
        <v>266</v>
      </c>
    </row>
  </sheetData>
  <hyperlinks>
    <hyperlink ref="A7" location="Home!A1" display="Home" xr:uid="{00000000-0004-0000-0100-000000000000}"/>
    <hyperlink ref="A11" location="Population!A1" display="Population" xr:uid="{00000000-0004-0000-0100-000001000000}"/>
    <hyperlink ref="A13" location="Costs!A1" display="Costs" xr:uid="{00000000-0004-0000-0100-000002000000}"/>
    <hyperlink ref="A15" location="'Resource Use'!A1" display="Resource Use" xr:uid="{00000000-0004-0000-0100-000003000000}"/>
    <hyperlink ref="A17" location="Results!A1" display="Results" xr:uid="{00000000-0004-0000-0100-000004000000}"/>
    <hyperlink ref="A19" location="'Determinist analysis'!A1" display="Deterministic analysis" xr:uid="{00000000-0004-0000-0100-000005000000}"/>
    <hyperlink ref="A9" location="Description!A1" display="Description" xr:uid="{00000000-0004-0000-0100-000006000000}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Drop Down 1">
              <controlPr defaultSize="0" autoLine="0" autoPict="0">
                <anchor moveWithCells="1">
                  <from>
                    <xdr:col>2</xdr:col>
                    <xdr:colOff>0</xdr:colOff>
                    <xdr:row>33</xdr:row>
                    <xdr:rowOff>9525</xdr:rowOff>
                  </from>
                  <to>
                    <xdr:col>3</xdr:col>
                    <xdr:colOff>9525</xdr:colOff>
                    <xdr:row>34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F34"/>
  <sheetViews>
    <sheetView showGridLines="0" showRowColHeaders="0" zoomScaleNormal="100" workbookViewId="0">
      <selection activeCell="A13" sqref="A13"/>
    </sheetView>
  </sheetViews>
  <sheetFormatPr defaultColWidth="10.875" defaultRowHeight="15.75" x14ac:dyDescent="0.25"/>
  <cols>
    <col min="1" max="1" width="30.875" style="2" customWidth="1"/>
    <col min="2" max="2" width="10.875" style="1"/>
    <col min="3" max="3" width="55.125" style="1" customWidth="1"/>
    <col min="4" max="4" width="27.125" style="1" customWidth="1"/>
    <col min="5" max="5" width="10.875" style="1"/>
    <col min="6" max="7" width="15.875" style="1" customWidth="1"/>
    <col min="8" max="16384" width="10.875" style="1"/>
  </cols>
  <sheetData>
    <row r="4" spans="1:32" ht="16.5" thickBot="1" x14ac:dyDescent="0.3">
      <c r="C4" s="44" t="s">
        <v>260</v>
      </c>
      <c r="D4" s="44"/>
      <c r="F4" s="13" t="s">
        <v>51</v>
      </c>
      <c r="G4" s="13" t="s">
        <v>52</v>
      </c>
      <c r="AA4" s="1">
        <v>0</v>
      </c>
      <c r="AF4" s="1">
        <v>0</v>
      </c>
    </row>
    <row r="5" spans="1:32" x14ac:dyDescent="0.25">
      <c r="Z5" s="1" t="s">
        <v>18</v>
      </c>
      <c r="AA5" s="12">
        <v>9006000</v>
      </c>
      <c r="AE5" s="1" t="s">
        <v>18</v>
      </c>
      <c r="AF5" s="17">
        <v>0.66559999999999997</v>
      </c>
    </row>
    <row r="6" spans="1:32" x14ac:dyDescent="0.25">
      <c r="C6" s="13" t="s">
        <v>55</v>
      </c>
      <c r="F6" s="14" t="s">
        <v>53</v>
      </c>
      <c r="G6" s="14"/>
      <c r="Z6" s="1" t="s">
        <v>19</v>
      </c>
      <c r="AA6" s="12">
        <v>11590000</v>
      </c>
      <c r="AE6" s="1" t="s">
        <v>19</v>
      </c>
      <c r="AF6" s="17">
        <v>0.63929999999999998</v>
      </c>
    </row>
    <row r="7" spans="1:32" x14ac:dyDescent="0.25">
      <c r="A7" s="5" t="s">
        <v>0</v>
      </c>
      <c r="G7" s="14"/>
      <c r="Z7" s="1" t="s">
        <v>20</v>
      </c>
      <c r="AA7" s="12">
        <v>6948000</v>
      </c>
      <c r="AE7" s="1" t="s">
        <v>20</v>
      </c>
      <c r="AF7" s="17">
        <v>0.64059999999999995</v>
      </c>
    </row>
    <row r="8" spans="1:32" x14ac:dyDescent="0.25">
      <c r="A8" s="6"/>
      <c r="C8" s="13" t="s">
        <v>46</v>
      </c>
      <c r="D8" s="28">
        <v>0</v>
      </c>
      <c r="F8" s="14" t="s">
        <v>370</v>
      </c>
      <c r="G8" s="14"/>
      <c r="Z8" s="1" t="s">
        <v>21</v>
      </c>
      <c r="AA8" s="12">
        <v>4105000</v>
      </c>
      <c r="AE8" s="1" t="s">
        <v>21</v>
      </c>
      <c r="AF8" s="17">
        <v>0.64570000000000005</v>
      </c>
    </row>
    <row r="9" spans="1:32" x14ac:dyDescent="0.25">
      <c r="A9" s="5" t="s">
        <v>1</v>
      </c>
      <c r="G9" s="14"/>
      <c r="Z9" s="1" t="s">
        <v>22</v>
      </c>
      <c r="AA9" s="12">
        <v>1207000</v>
      </c>
      <c r="AE9" s="1" t="s">
        <v>22</v>
      </c>
      <c r="AF9" s="17">
        <v>0.69240000000000002</v>
      </c>
    </row>
    <row r="10" spans="1:32" x14ac:dyDescent="0.25">
      <c r="A10" s="6"/>
      <c r="C10" s="13" t="s">
        <v>47</v>
      </c>
      <c r="D10" s="32">
        <f>+$Z$34+$D$8</f>
        <v>60462000</v>
      </c>
      <c r="G10" s="14"/>
      <c r="Z10" s="1" t="s">
        <v>256</v>
      </c>
      <c r="AA10" s="12">
        <v>10709000</v>
      </c>
      <c r="AE10" s="1" t="s">
        <v>256</v>
      </c>
      <c r="AF10" s="17">
        <v>0.64470000000000005</v>
      </c>
    </row>
    <row r="11" spans="1:32" x14ac:dyDescent="0.25">
      <c r="A11" s="8" t="s">
        <v>2</v>
      </c>
      <c r="G11" s="14"/>
      <c r="Z11" s="1" t="s">
        <v>24</v>
      </c>
      <c r="AA11" s="12">
        <v>5792000</v>
      </c>
      <c r="AE11" s="1" t="s">
        <v>24</v>
      </c>
      <c r="AF11" s="17">
        <v>0.63629999999999998</v>
      </c>
    </row>
    <row r="12" spans="1:32" x14ac:dyDescent="0.25">
      <c r="A12" s="6"/>
      <c r="Z12" s="1" t="s">
        <v>25</v>
      </c>
      <c r="AA12" s="12">
        <v>1327000</v>
      </c>
      <c r="AE12" s="1" t="s">
        <v>25</v>
      </c>
      <c r="AF12" s="17">
        <v>0.63539999999999996</v>
      </c>
    </row>
    <row r="13" spans="1:32" ht="16.5" thickBot="1" x14ac:dyDescent="0.3">
      <c r="A13" s="5" t="s">
        <v>3</v>
      </c>
      <c r="C13" s="44" t="s">
        <v>261</v>
      </c>
      <c r="D13" s="44"/>
      <c r="F13" s="13" t="s">
        <v>51</v>
      </c>
      <c r="G13" s="13" t="s">
        <v>52</v>
      </c>
      <c r="Z13" s="1" t="s">
        <v>26</v>
      </c>
      <c r="AA13" s="12">
        <v>5541000</v>
      </c>
      <c r="AE13" s="1" t="s">
        <v>26</v>
      </c>
      <c r="AF13" s="17">
        <v>0.61839999999999995</v>
      </c>
    </row>
    <row r="14" spans="1:32" x14ac:dyDescent="0.25">
      <c r="A14" s="6"/>
      <c r="G14" s="14"/>
      <c r="Z14" s="1" t="s">
        <v>27</v>
      </c>
      <c r="AA14" s="12">
        <v>65274000</v>
      </c>
      <c r="AE14" s="1" t="s">
        <v>27</v>
      </c>
      <c r="AF14" s="17">
        <v>0.61799999999999999</v>
      </c>
    </row>
    <row r="15" spans="1:32" x14ac:dyDescent="0.25">
      <c r="A15" s="5" t="s">
        <v>4</v>
      </c>
      <c r="C15" s="13" t="s">
        <v>255</v>
      </c>
      <c r="F15" s="14" t="s">
        <v>54</v>
      </c>
      <c r="G15" s="14" t="s">
        <v>50</v>
      </c>
      <c r="Z15" s="1" t="s">
        <v>28</v>
      </c>
      <c r="AA15" s="12">
        <v>83784000</v>
      </c>
      <c r="AE15" s="1" t="s">
        <v>28</v>
      </c>
      <c r="AF15" s="17">
        <v>0.64629999999999999</v>
      </c>
    </row>
    <row r="16" spans="1:32" x14ac:dyDescent="0.25">
      <c r="A16" s="6"/>
      <c r="Z16" s="1" t="s">
        <v>29</v>
      </c>
      <c r="AA16" s="12">
        <v>10423000</v>
      </c>
      <c r="AE16" s="1" t="s">
        <v>29</v>
      </c>
      <c r="AF16" s="17">
        <v>0.64159999999999995</v>
      </c>
    </row>
    <row r="17" spans="1:32" x14ac:dyDescent="0.25">
      <c r="A17" s="5" t="s">
        <v>5</v>
      </c>
      <c r="C17" s="13" t="s">
        <v>259</v>
      </c>
      <c r="D17" s="29">
        <v>0</v>
      </c>
      <c r="F17" s="14" t="s">
        <v>370</v>
      </c>
      <c r="Z17" s="1" t="s">
        <v>30</v>
      </c>
      <c r="AA17" s="12">
        <v>9660000</v>
      </c>
      <c r="AE17" s="1" t="s">
        <v>30</v>
      </c>
      <c r="AF17" s="17">
        <v>0.65869999999999995</v>
      </c>
    </row>
    <row r="18" spans="1:32" x14ac:dyDescent="0.25">
      <c r="A18" s="6"/>
      <c r="Z18" s="1" t="s">
        <v>31</v>
      </c>
      <c r="AA18" s="12">
        <v>4938000</v>
      </c>
      <c r="AE18" s="1" t="s">
        <v>31</v>
      </c>
      <c r="AF18" s="17">
        <v>0.6462</v>
      </c>
    </row>
    <row r="19" spans="1:32" x14ac:dyDescent="0.25">
      <c r="A19" s="5" t="s">
        <v>6</v>
      </c>
      <c r="C19" s="13" t="s">
        <v>47</v>
      </c>
      <c r="D19" s="32">
        <f>+$D$34*$AE$34</f>
        <v>771736.96799999999</v>
      </c>
      <c r="F19" s="14" t="s">
        <v>370</v>
      </c>
      <c r="Z19" s="1" t="s">
        <v>32</v>
      </c>
      <c r="AA19" s="12">
        <v>60462000</v>
      </c>
      <c r="AE19" s="1" t="s">
        <v>32</v>
      </c>
      <c r="AF19" s="17">
        <v>0.63819999999999999</v>
      </c>
    </row>
    <row r="20" spans="1:32" x14ac:dyDescent="0.25">
      <c r="Z20" s="1" t="s">
        <v>33</v>
      </c>
      <c r="AA20" s="12">
        <v>1886000</v>
      </c>
      <c r="AE20" s="1" t="s">
        <v>33</v>
      </c>
      <c r="AF20" s="17">
        <v>0.63349999999999995</v>
      </c>
    </row>
    <row r="21" spans="1:32" x14ac:dyDescent="0.25">
      <c r="C21" s="13" t="s">
        <v>400</v>
      </c>
      <c r="D21" s="28">
        <v>55</v>
      </c>
      <c r="F21" s="14" t="s">
        <v>370</v>
      </c>
      <c r="Z21" s="1" t="s">
        <v>34</v>
      </c>
      <c r="AA21" s="12">
        <v>2722000</v>
      </c>
      <c r="AE21" s="1" t="s">
        <v>34</v>
      </c>
      <c r="AF21" s="17">
        <v>0.64700000000000002</v>
      </c>
    </row>
    <row r="22" spans="1:32" x14ac:dyDescent="0.25">
      <c r="Z22" s="1" t="s">
        <v>35</v>
      </c>
      <c r="AA22" s="12">
        <v>626000</v>
      </c>
      <c r="AE22" s="1" t="s">
        <v>35</v>
      </c>
      <c r="AF22" s="17">
        <v>0.70009999999999994</v>
      </c>
    </row>
    <row r="23" spans="1:32" x14ac:dyDescent="0.25">
      <c r="O23" s="1" t="b">
        <v>1</v>
      </c>
      <c r="Z23" s="1" t="s">
        <v>36</v>
      </c>
      <c r="AA23" s="12">
        <v>442000</v>
      </c>
      <c r="AE23" s="1" t="s">
        <v>36</v>
      </c>
      <c r="AF23" s="17">
        <v>0.64849999999999997</v>
      </c>
    </row>
    <row r="24" spans="1:32" ht="16.5" thickBot="1" x14ac:dyDescent="0.3">
      <c r="C24" s="44" t="s">
        <v>262</v>
      </c>
      <c r="D24" s="44"/>
      <c r="F24" s="13" t="s">
        <v>51</v>
      </c>
      <c r="G24" s="13" t="s">
        <v>52</v>
      </c>
      <c r="Z24" s="1" t="s">
        <v>37</v>
      </c>
      <c r="AA24" s="12">
        <v>17135000</v>
      </c>
      <c r="AE24" s="1" t="s">
        <v>37</v>
      </c>
      <c r="AF24" s="17">
        <v>0.64510000000000001</v>
      </c>
    </row>
    <row r="25" spans="1:32" x14ac:dyDescent="0.25">
      <c r="Z25" s="1" t="s">
        <v>38</v>
      </c>
      <c r="AA25" s="12">
        <v>37847000</v>
      </c>
      <c r="AE25" s="1" t="s">
        <v>38</v>
      </c>
      <c r="AF25" s="17">
        <v>0.66690000000000005</v>
      </c>
    </row>
    <row r="26" spans="1:32" x14ac:dyDescent="0.25">
      <c r="C26" s="13" t="s">
        <v>49</v>
      </c>
      <c r="D26" s="29">
        <v>0.02</v>
      </c>
      <c r="F26" s="14" t="s">
        <v>370</v>
      </c>
      <c r="Z26" s="1" t="s">
        <v>39</v>
      </c>
      <c r="AA26" s="12">
        <v>10197000</v>
      </c>
      <c r="AE26" s="1" t="s">
        <v>39</v>
      </c>
      <c r="AF26" s="17">
        <v>0.64390000000000003</v>
      </c>
    </row>
    <row r="27" spans="1:32" x14ac:dyDescent="0.25">
      <c r="O27" s="1" t="b">
        <v>0</v>
      </c>
      <c r="Z27" s="1" t="s">
        <v>40</v>
      </c>
      <c r="AA27" s="12">
        <v>19238000</v>
      </c>
      <c r="AE27" s="1" t="s">
        <v>40</v>
      </c>
      <c r="AF27" s="17">
        <v>0.65629999999999999</v>
      </c>
    </row>
    <row r="28" spans="1:32" x14ac:dyDescent="0.25">
      <c r="C28" s="13" t="s">
        <v>48</v>
      </c>
      <c r="D28" s="29">
        <v>0.03</v>
      </c>
      <c r="F28" s="14" t="s">
        <v>370</v>
      </c>
      <c r="Z28" s="1" t="s">
        <v>257</v>
      </c>
      <c r="AA28" s="12">
        <v>5460000</v>
      </c>
      <c r="AE28" s="1" t="s">
        <v>257</v>
      </c>
      <c r="AF28" s="17">
        <v>0.68289999999999995</v>
      </c>
    </row>
    <row r="29" spans="1:32" x14ac:dyDescent="0.25">
      <c r="D29" s="30"/>
      <c r="Z29" s="1" t="s">
        <v>42</v>
      </c>
      <c r="AA29" s="12">
        <v>2079000</v>
      </c>
      <c r="AE29" s="1" t="s">
        <v>42</v>
      </c>
      <c r="AF29" s="17">
        <v>0.64700000000000002</v>
      </c>
    </row>
    <row r="30" spans="1:32" x14ac:dyDescent="0.25">
      <c r="C30" s="13" t="s">
        <v>368</v>
      </c>
      <c r="D30" s="32">
        <f>IF($O$23=TRUE,+$D$10*$D$26,0)</f>
        <v>1209240</v>
      </c>
      <c r="F30" s="14" t="s">
        <v>370</v>
      </c>
      <c r="Z30" s="1" t="s">
        <v>43</v>
      </c>
      <c r="AA30" s="12">
        <v>46755000</v>
      </c>
      <c r="AE30" s="1" t="s">
        <v>43</v>
      </c>
      <c r="AF30" s="17">
        <v>0.65769999999999995</v>
      </c>
    </row>
    <row r="31" spans="1:32" x14ac:dyDescent="0.25">
      <c r="Z31" s="1" t="s">
        <v>44</v>
      </c>
      <c r="AA31" s="12">
        <v>10099000</v>
      </c>
      <c r="AE31" s="1" t="s">
        <v>44</v>
      </c>
      <c r="AF31" s="17">
        <v>0.62170000000000003</v>
      </c>
    </row>
    <row r="32" spans="1:32" x14ac:dyDescent="0.25">
      <c r="C32" s="13" t="s">
        <v>369</v>
      </c>
      <c r="D32" s="32">
        <f>IF($O$27=TRUE,+$D$10*$D$28,0)</f>
        <v>0</v>
      </c>
      <c r="F32" s="14" t="s">
        <v>370</v>
      </c>
    </row>
    <row r="33" spans="3:31" x14ac:dyDescent="0.25">
      <c r="Y33" s="1" t="s">
        <v>17</v>
      </c>
      <c r="Z33" s="1" t="s">
        <v>45</v>
      </c>
      <c r="AD33" s="1" t="s">
        <v>17</v>
      </c>
      <c r="AE33" s="1" t="s">
        <v>258</v>
      </c>
    </row>
    <row r="34" spans="3:31" x14ac:dyDescent="0.25">
      <c r="C34" s="13" t="s">
        <v>367</v>
      </c>
      <c r="D34" s="32">
        <f>+$D$30+$D$32</f>
        <v>1209240</v>
      </c>
      <c r="F34" s="14" t="s">
        <v>370</v>
      </c>
      <c r="Y34" s="1">
        <v>16</v>
      </c>
      <c r="Z34" s="12">
        <f>CHOOSE(Y34,AA4,AA5,AA6,AA7,AA8,AA9,AA10,AA11,AA12,AA13,AA14,AA15,AA16,AA17,AA18,AA19,AA20,AA21,AA22,AA23,AA24,AA25,AA26,AA27,AA28,AA29,AA30,AA31)</f>
        <v>60462000</v>
      </c>
      <c r="AD34" s="1">
        <v>16</v>
      </c>
      <c r="AE34" s="17">
        <f>CHOOSE(AD34,AF4,AF5,AF6,AF7,AF8,AF9,AF10,AF11,AF12,AF13,AF14,AF15,AF16,AF17,AF18,AF19,AF20,AF21,AF22,AF23,AF24,AF25,AF26,AF27,AF28,AF29,AF30,AF31)</f>
        <v>0.63819999999999999</v>
      </c>
    </row>
  </sheetData>
  <mergeCells count="3">
    <mergeCell ref="C4:D4"/>
    <mergeCell ref="C13:D13"/>
    <mergeCell ref="C24:D24"/>
  </mergeCells>
  <hyperlinks>
    <hyperlink ref="A7" location="Home!A1" display="Home" xr:uid="{00000000-0004-0000-0200-000000000000}"/>
    <hyperlink ref="A11" location="Population!A1" display="Population" xr:uid="{00000000-0004-0000-0200-000001000000}"/>
    <hyperlink ref="A13" location="Costs!A1" display="Costs" xr:uid="{00000000-0004-0000-0200-000002000000}"/>
    <hyperlink ref="A15" location="'Resource Use'!A1" display="Resource Use" xr:uid="{00000000-0004-0000-0200-000003000000}"/>
    <hyperlink ref="A17" location="Results!A1" display="Results" xr:uid="{00000000-0004-0000-0200-000004000000}"/>
    <hyperlink ref="A19" location="'Determinist analysis'!A1" display="Deterministic analysis" xr:uid="{00000000-0004-0000-0200-000005000000}"/>
    <hyperlink ref="A9" location="Description!A1" display="Description" xr:uid="{00000000-0004-0000-0200-000006000000}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161925</xdr:rowOff>
                  </from>
                  <to>
                    <xdr:col>4</xdr:col>
                    <xdr:colOff>9525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Drop Down 4">
              <controlPr defaultSize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4</xdr:col>
                    <xdr:colOff>9525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6" name="Check Box 6">
              <controlPr defaultSize="0" autoFill="0" autoLine="0" autoPict="0">
                <anchor moveWithCells="1">
                  <from>
                    <xdr:col>1</xdr:col>
                    <xdr:colOff>457200</xdr:colOff>
                    <xdr:row>28</xdr:row>
                    <xdr:rowOff>104775</xdr:rowOff>
                  </from>
                  <to>
                    <xdr:col>2</xdr:col>
                    <xdr:colOff>38100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7" name="Check Box 7">
              <controlPr defaultSize="0" autoFill="0" autoLine="0" autoPict="0">
                <anchor moveWithCells="1">
                  <from>
                    <xdr:col>1</xdr:col>
                    <xdr:colOff>466725</xdr:colOff>
                    <xdr:row>30</xdr:row>
                    <xdr:rowOff>114300</xdr:rowOff>
                  </from>
                  <to>
                    <xdr:col>2</xdr:col>
                    <xdr:colOff>47625</xdr:colOff>
                    <xdr:row>32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BC108"/>
  <sheetViews>
    <sheetView showGridLines="0" showRowColHeaders="0" zoomScaleNormal="100" workbookViewId="0">
      <selection activeCell="A15" sqref="A15"/>
    </sheetView>
  </sheetViews>
  <sheetFormatPr defaultColWidth="10.875" defaultRowHeight="15.75" x14ac:dyDescent="0.25"/>
  <cols>
    <col min="1" max="1" width="30.875" style="2" customWidth="1"/>
    <col min="2" max="2" width="10.875" style="1"/>
    <col min="3" max="3" width="55.125" style="1" customWidth="1"/>
    <col min="4" max="4" width="27.125" style="1" customWidth="1"/>
    <col min="5" max="5" width="10.875" style="1"/>
    <col min="6" max="7" width="15.875" style="1" customWidth="1"/>
    <col min="8" max="24" width="10.875" style="1"/>
    <col min="25" max="25" width="14.375" style="1" bestFit="1" customWidth="1"/>
    <col min="26" max="29" width="10.875" style="1"/>
    <col min="30" max="30" width="14.375" style="1" bestFit="1" customWidth="1"/>
    <col min="31" max="33" width="10.875" style="1"/>
    <col min="34" max="34" width="19.125" style="1" customWidth="1"/>
    <col min="35" max="39" width="10.875" style="1"/>
    <col min="40" max="40" width="10.875" style="23"/>
    <col min="41" max="16384" width="10.875" style="1"/>
  </cols>
  <sheetData>
    <row r="4" spans="1:55" ht="16.5" thickBot="1" x14ac:dyDescent="0.3">
      <c r="C4" s="44" t="s">
        <v>371</v>
      </c>
      <c r="D4" s="44"/>
      <c r="F4" s="13" t="s">
        <v>51</v>
      </c>
      <c r="G4" s="13" t="s">
        <v>52</v>
      </c>
      <c r="Z4" s="1">
        <v>0</v>
      </c>
      <c r="AE4" s="1">
        <v>0</v>
      </c>
      <c r="AI4" s="1">
        <v>0</v>
      </c>
      <c r="AN4" s="23">
        <v>0</v>
      </c>
      <c r="AQ4" s="23">
        <v>0</v>
      </c>
      <c r="AT4" s="23">
        <v>0</v>
      </c>
      <c r="AW4" s="23">
        <v>0</v>
      </c>
      <c r="AZ4" s="23">
        <v>0</v>
      </c>
      <c r="BC4" s="23">
        <v>0</v>
      </c>
    </row>
    <row r="5" spans="1:55" x14ac:dyDescent="0.25">
      <c r="Y5" s="1" t="s">
        <v>344</v>
      </c>
      <c r="Z5" s="1">
        <v>1</v>
      </c>
      <c r="AD5" s="1" t="s">
        <v>326</v>
      </c>
      <c r="AE5" s="1">
        <v>1</v>
      </c>
      <c r="AH5" s="1" t="s">
        <v>274</v>
      </c>
      <c r="AI5" s="1">
        <v>1</v>
      </c>
      <c r="AM5" s="21">
        <v>0.01</v>
      </c>
      <c r="AN5" s="24">
        <f>1/100</f>
        <v>0.01</v>
      </c>
      <c r="AP5" s="21">
        <v>0.01</v>
      </c>
      <c r="AQ5" s="24">
        <f>1/100</f>
        <v>0.01</v>
      </c>
      <c r="AS5" s="21">
        <v>0.01</v>
      </c>
      <c r="AT5" s="24">
        <f>1/100</f>
        <v>0.01</v>
      </c>
      <c r="AV5" s="21">
        <v>0.01</v>
      </c>
      <c r="AW5" s="24">
        <f>1/100</f>
        <v>0.01</v>
      </c>
      <c r="AY5" s="21">
        <v>0.01</v>
      </c>
      <c r="AZ5" s="24">
        <f>1/100</f>
        <v>0.01</v>
      </c>
      <c r="BB5" s="21">
        <v>0.01</v>
      </c>
      <c r="BC5" s="24">
        <f>1/100</f>
        <v>0.01</v>
      </c>
    </row>
    <row r="6" spans="1:55" x14ac:dyDescent="0.25">
      <c r="C6" s="13" t="s">
        <v>263</v>
      </c>
      <c r="D6" s="18">
        <v>8</v>
      </c>
      <c r="F6" s="14" t="s">
        <v>370</v>
      </c>
      <c r="Y6" s="1" t="s">
        <v>345</v>
      </c>
      <c r="Z6" s="1">
        <v>2</v>
      </c>
      <c r="AD6" s="1" t="s">
        <v>327</v>
      </c>
      <c r="AE6" s="1">
        <v>2</v>
      </c>
      <c r="AH6" s="1" t="s">
        <v>275</v>
      </c>
      <c r="AI6" s="1">
        <v>2</v>
      </c>
      <c r="AM6" s="21">
        <v>0.02</v>
      </c>
      <c r="AN6" s="24">
        <f>+AN5+0.01</f>
        <v>0.02</v>
      </c>
      <c r="AP6" s="21">
        <v>0.02</v>
      </c>
      <c r="AQ6" s="24">
        <f>+AQ5+0.01</f>
        <v>0.02</v>
      </c>
      <c r="AS6" s="21">
        <v>0.02</v>
      </c>
      <c r="AT6" s="24">
        <f>+AT5+0.01</f>
        <v>0.02</v>
      </c>
      <c r="AV6" s="21">
        <v>0.02</v>
      </c>
      <c r="AW6" s="24">
        <f>+AW5+0.01</f>
        <v>0.02</v>
      </c>
      <c r="AY6" s="21">
        <v>0.02</v>
      </c>
      <c r="AZ6" s="24">
        <f>+AZ5+0.01</f>
        <v>0.02</v>
      </c>
      <c r="BB6" s="21">
        <v>0.02</v>
      </c>
      <c r="BC6" s="24">
        <f>+BC5+0.01</f>
        <v>0.02</v>
      </c>
    </row>
    <row r="7" spans="1:55" x14ac:dyDescent="0.25">
      <c r="A7" s="5" t="s">
        <v>0</v>
      </c>
      <c r="Y7" s="1" t="s">
        <v>346</v>
      </c>
      <c r="Z7" s="1">
        <v>3</v>
      </c>
      <c r="AD7" s="1" t="s">
        <v>328</v>
      </c>
      <c r="AE7" s="1">
        <v>3</v>
      </c>
      <c r="AH7" s="1" t="s">
        <v>276</v>
      </c>
      <c r="AI7" s="1">
        <v>3</v>
      </c>
      <c r="AM7" s="21">
        <v>0.03</v>
      </c>
      <c r="AN7" s="24">
        <f>+AN6+0.01</f>
        <v>0.03</v>
      </c>
      <c r="AP7" s="21">
        <v>0.03</v>
      </c>
      <c r="AQ7" s="24">
        <f>+AQ6+0.01</f>
        <v>0.03</v>
      </c>
      <c r="AS7" s="21">
        <v>0.03</v>
      </c>
      <c r="AT7" s="24">
        <f>+AT6+0.01</f>
        <v>0.03</v>
      </c>
      <c r="AV7" s="21">
        <v>0.03</v>
      </c>
      <c r="AW7" s="24">
        <f>+AW6+0.01</f>
        <v>0.03</v>
      </c>
      <c r="AY7" s="21">
        <v>0.03</v>
      </c>
      <c r="AZ7" s="24">
        <f>+AZ6+0.01</f>
        <v>0.03</v>
      </c>
      <c r="BB7" s="21">
        <v>0.03</v>
      </c>
      <c r="BC7" s="24">
        <f>+BC6+0.01</f>
        <v>0.03</v>
      </c>
    </row>
    <row r="8" spans="1:55" x14ac:dyDescent="0.25">
      <c r="A8" s="6"/>
      <c r="C8" s="13" t="s">
        <v>265</v>
      </c>
      <c r="F8" s="14" t="s">
        <v>370</v>
      </c>
      <c r="Y8" s="1" t="s">
        <v>347</v>
      </c>
      <c r="Z8" s="1">
        <v>4</v>
      </c>
      <c r="AD8" s="1" t="s">
        <v>329</v>
      </c>
      <c r="AE8" s="1">
        <v>4</v>
      </c>
      <c r="AH8" s="1" t="s">
        <v>277</v>
      </c>
      <c r="AI8" s="1">
        <v>4</v>
      </c>
      <c r="AM8" s="21">
        <v>0.04</v>
      </c>
      <c r="AN8" s="24">
        <f t="shared" ref="AN8:AN71" si="0">+AN7+0.01</f>
        <v>0.04</v>
      </c>
      <c r="AP8" s="21">
        <v>0.04</v>
      </c>
      <c r="AQ8" s="24">
        <f t="shared" ref="AQ8:AQ71" si="1">+AQ7+0.01</f>
        <v>0.04</v>
      </c>
      <c r="AS8" s="21">
        <v>0.04</v>
      </c>
      <c r="AT8" s="24">
        <f t="shared" ref="AT8:AT71" si="2">+AT7+0.01</f>
        <v>0.04</v>
      </c>
      <c r="AV8" s="21">
        <v>0.04</v>
      </c>
      <c r="AW8" s="24">
        <f t="shared" ref="AW8:AW71" si="3">+AW7+0.01</f>
        <v>0.04</v>
      </c>
      <c r="AY8" s="21">
        <v>0.04</v>
      </c>
      <c r="AZ8" s="24">
        <f t="shared" ref="AZ8:AZ71" si="4">+AZ7+0.01</f>
        <v>0.04</v>
      </c>
      <c r="BB8" s="21">
        <v>0.04</v>
      </c>
      <c r="BC8" s="24">
        <f t="shared" ref="BC8:BC71" si="5">+BC7+0.01</f>
        <v>0.04</v>
      </c>
    </row>
    <row r="9" spans="1:55" x14ac:dyDescent="0.25">
      <c r="A9" s="5" t="s">
        <v>1</v>
      </c>
      <c r="Y9" s="1" t="s">
        <v>348</v>
      </c>
      <c r="Z9" s="1">
        <v>5</v>
      </c>
      <c r="AD9" s="1" t="s">
        <v>330</v>
      </c>
      <c r="AE9" s="1">
        <v>5</v>
      </c>
      <c r="AH9" s="1" t="s">
        <v>278</v>
      </c>
      <c r="AI9" s="1">
        <v>5</v>
      </c>
      <c r="AM9" s="21">
        <v>0.05</v>
      </c>
      <c r="AN9" s="24">
        <f t="shared" si="0"/>
        <v>0.05</v>
      </c>
      <c r="AP9" s="21">
        <v>0.05</v>
      </c>
      <c r="AQ9" s="24">
        <f t="shared" si="1"/>
        <v>0.05</v>
      </c>
      <c r="AS9" s="21">
        <v>0.05</v>
      </c>
      <c r="AT9" s="24">
        <f t="shared" si="2"/>
        <v>0.05</v>
      </c>
      <c r="AV9" s="21">
        <v>0.05</v>
      </c>
      <c r="AW9" s="24">
        <f t="shared" si="3"/>
        <v>0.05</v>
      </c>
      <c r="AY9" s="21">
        <v>0.05</v>
      </c>
      <c r="AZ9" s="24">
        <f t="shared" si="4"/>
        <v>0.05</v>
      </c>
      <c r="BB9" s="21">
        <v>0.05</v>
      </c>
      <c r="BC9" s="24">
        <f t="shared" si="5"/>
        <v>0.05</v>
      </c>
    </row>
    <row r="10" spans="1:55" x14ac:dyDescent="0.25">
      <c r="A10" s="6"/>
      <c r="C10" s="13" t="s">
        <v>270</v>
      </c>
      <c r="D10" s="25">
        <f>+$D$6/$Y$34</f>
        <v>1.6</v>
      </c>
      <c r="F10" s="14" t="s">
        <v>370</v>
      </c>
      <c r="Y10" s="1" t="s">
        <v>349</v>
      </c>
      <c r="Z10" s="1">
        <v>6</v>
      </c>
      <c r="AD10" s="1" t="s">
        <v>331</v>
      </c>
      <c r="AE10" s="1">
        <v>6</v>
      </c>
      <c r="AH10" s="1" t="s">
        <v>279</v>
      </c>
      <c r="AI10" s="1">
        <v>6</v>
      </c>
      <c r="AM10" s="21">
        <v>0.06</v>
      </c>
      <c r="AN10" s="24">
        <f t="shared" si="0"/>
        <v>6.0000000000000005E-2</v>
      </c>
      <c r="AP10" s="21">
        <v>0.06</v>
      </c>
      <c r="AQ10" s="24">
        <f t="shared" si="1"/>
        <v>6.0000000000000005E-2</v>
      </c>
      <c r="AS10" s="21">
        <v>0.06</v>
      </c>
      <c r="AT10" s="24">
        <f t="shared" si="2"/>
        <v>6.0000000000000005E-2</v>
      </c>
      <c r="AV10" s="21">
        <v>0.06</v>
      </c>
      <c r="AW10" s="24">
        <f t="shared" si="3"/>
        <v>6.0000000000000005E-2</v>
      </c>
      <c r="AY10" s="21">
        <v>0.06</v>
      </c>
      <c r="AZ10" s="24">
        <f t="shared" si="4"/>
        <v>6.0000000000000005E-2</v>
      </c>
      <c r="BB10" s="21">
        <v>0.06</v>
      </c>
      <c r="BC10" s="24">
        <f t="shared" si="5"/>
        <v>6.0000000000000005E-2</v>
      </c>
    </row>
    <row r="11" spans="1:55" x14ac:dyDescent="0.25">
      <c r="A11" s="5" t="s">
        <v>2</v>
      </c>
      <c r="Y11" s="1" t="s">
        <v>350</v>
      </c>
      <c r="Z11" s="1">
        <v>7</v>
      </c>
      <c r="AD11" s="1" t="s">
        <v>332</v>
      </c>
      <c r="AE11" s="1">
        <v>7</v>
      </c>
      <c r="AH11" s="1" t="s">
        <v>280</v>
      </c>
      <c r="AI11" s="1">
        <v>7</v>
      </c>
      <c r="AM11" s="21">
        <v>7.0000000000000007E-2</v>
      </c>
      <c r="AN11" s="24">
        <f t="shared" si="0"/>
        <v>7.0000000000000007E-2</v>
      </c>
      <c r="AP11" s="21">
        <v>7.0000000000000007E-2</v>
      </c>
      <c r="AQ11" s="24">
        <f t="shared" si="1"/>
        <v>7.0000000000000007E-2</v>
      </c>
      <c r="AS11" s="21">
        <v>7.0000000000000007E-2</v>
      </c>
      <c r="AT11" s="24">
        <f t="shared" si="2"/>
        <v>7.0000000000000007E-2</v>
      </c>
      <c r="AV11" s="21">
        <v>7.0000000000000007E-2</v>
      </c>
      <c r="AW11" s="24">
        <f t="shared" si="3"/>
        <v>7.0000000000000007E-2</v>
      </c>
      <c r="AY11" s="21">
        <v>7.0000000000000007E-2</v>
      </c>
      <c r="AZ11" s="24">
        <f t="shared" si="4"/>
        <v>7.0000000000000007E-2</v>
      </c>
      <c r="BB11" s="21">
        <v>7.0000000000000007E-2</v>
      </c>
      <c r="BC11" s="24">
        <f t="shared" si="5"/>
        <v>7.0000000000000007E-2</v>
      </c>
    </row>
    <row r="12" spans="1:55" x14ac:dyDescent="0.25">
      <c r="A12" s="6"/>
      <c r="C12" s="13" t="s">
        <v>271</v>
      </c>
      <c r="F12" s="14" t="s">
        <v>370</v>
      </c>
      <c r="Z12" s="17"/>
      <c r="AD12" s="1" t="s">
        <v>333</v>
      </c>
      <c r="AE12" s="1">
        <v>8</v>
      </c>
      <c r="AH12" s="1" t="s">
        <v>281</v>
      </c>
      <c r="AI12" s="1">
        <v>8</v>
      </c>
      <c r="AM12" s="21">
        <v>0.08</v>
      </c>
      <c r="AN12" s="24">
        <f t="shared" si="0"/>
        <v>0.08</v>
      </c>
      <c r="AP12" s="21">
        <v>0.08</v>
      </c>
      <c r="AQ12" s="24">
        <f t="shared" si="1"/>
        <v>0.08</v>
      </c>
      <c r="AS12" s="21">
        <v>0.08</v>
      </c>
      <c r="AT12" s="24">
        <f t="shared" si="2"/>
        <v>0.08</v>
      </c>
      <c r="AV12" s="21">
        <v>0.08</v>
      </c>
      <c r="AW12" s="24">
        <f t="shared" si="3"/>
        <v>0.08</v>
      </c>
      <c r="AY12" s="21">
        <v>0.08</v>
      </c>
      <c r="AZ12" s="24">
        <f t="shared" si="4"/>
        <v>0.08</v>
      </c>
      <c r="BB12" s="21">
        <v>0.08</v>
      </c>
      <c r="BC12" s="24">
        <f t="shared" si="5"/>
        <v>0.08</v>
      </c>
    </row>
    <row r="13" spans="1:55" x14ac:dyDescent="0.25">
      <c r="A13" s="8" t="s">
        <v>3</v>
      </c>
      <c r="Z13" s="17"/>
      <c r="AD13" s="1" t="s">
        <v>334</v>
      </c>
      <c r="AE13" s="1">
        <v>9</v>
      </c>
      <c r="AH13" s="1" t="s">
        <v>282</v>
      </c>
      <c r="AI13" s="1">
        <v>9</v>
      </c>
      <c r="AM13" s="21">
        <v>0.09</v>
      </c>
      <c r="AN13" s="24">
        <f t="shared" si="0"/>
        <v>0.09</v>
      </c>
      <c r="AP13" s="21">
        <v>0.09</v>
      </c>
      <c r="AQ13" s="24">
        <f t="shared" si="1"/>
        <v>0.09</v>
      </c>
      <c r="AS13" s="21">
        <v>0.09</v>
      </c>
      <c r="AT13" s="24">
        <f t="shared" si="2"/>
        <v>0.09</v>
      </c>
      <c r="AV13" s="21">
        <v>0.09</v>
      </c>
      <c r="AW13" s="24">
        <f t="shared" si="3"/>
        <v>0.09</v>
      </c>
      <c r="AY13" s="21">
        <v>0.09</v>
      </c>
      <c r="AZ13" s="24">
        <f t="shared" si="4"/>
        <v>0.09</v>
      </c>
      <c r="BB13" s="21">
        <v>0.09</v>
      </c>
      <c r="BC13" s="24">
        <f t="shared" si="5"/>
        <v>0.09</v>
      </c>
    </row>
    <row r="14" spans="1:55" x14ac:dyDescent="0.25">
      <c r="A14" s="6"/>
      <c r="C14" s="13" t="s">
        <v>272</v>
      </c>
      <c r="D14" s="25">
        <f>+$Y$34*$AD$34</f>
        <v>20</v>
      </c>
      <c r="F14" s="14" t="s">
        <v>370</v>
      </c>
      <c r="Z14" s="17"/>
      <c r="AD14" s="1" t="s">
        <v>335</v>
      </c>
      <c r="AE14" s="1">
        <v>10</v>
      </c>
      <c r="AH14" s="1" t="s">
        <v>283</v>
      </c>
      <c r="AI14" s="1">
        <v>10</v>
      </c>
      <c r="AM14" s="21">
        <v>0.1</v>
      </c>
      <c r="AN14" s="24">
        <f t="shared" si="0"/>
        <v>9.9999999999999992E-2</v>
      </c>
      <c r="AP14" s="21">
        <v>0.1</v>
      </c>
      <c r="AQ14" s="24">
        <f t="shared" si="1"/>
        <v>9.9999999999999992E-2</v>
      </c>
      <c r="AS14" s="21">
        <v>0.1</v>
      </c>
      <c r="AT14" s="24">
        <f t="shared" si="2"/>
        <v>9.9999999999999992E-2</v>
      </c>
      <c r="AV14" s="21">
        <v>0.1</v>
      </c>
      <c r="AW14" s="24">
        <f t="shared" si="3"/>
        <v>9.9999999999999992E-2</v>
      </c>
      <c r="AY14" s="21">
        <v>0.1</v>
      </c>
      <c r="AZ14" s="24">
        <f t="shared" si="4"/>
        <v>9.9999999999999992E-2</v>
      </c>
      <c r="BB14" s="21">
        <v>0.1</v>
      </c>
      <c r="BC14" s="24">
        <f t="shared" si="5"/>
        <v>9.9999999999999992E-2</v>
      </c>
    </row>
    <row r="15" spans="1:55" x14ac:dyDescent="0.25">
      <c r="A15" s="5" t="s">
        <v>4</v>
      </c>
      <c r="Z15" s="17"/>
      <c r="AD15" s="1" t="s">
        <v>336</v>
      </c>
      <c r="AE15" s="1">
        <v>11</v>
      </c>
      <c r="AH15" s="1" t="s">
        <v>284</v>
      </c>
      <c r="AI15" s="1">
        <v>11</v>
      </c>
      <c r="AM15" s="21">
        <v>0.11</v>
      </c>
      <c r="AN15" s="24">
        <f t="shared" si="0"/>
        <v>0.10999999999999999</v>
      </c>
      <c r="AP15" s="21">
        <v>0.11</v>
      </c>
      <c r="AQ15" s="24">
        <f t="shared" si="1"/>
        <v>0.10999999999999999</v>
      </c>
      <c r="AS15" s="21">
        <v>0.11</v>
      </c>
      <c r="AT15" s="24">
        <f t="shared" si="2"/>
        <v>0.10999999999999999</v>
      </c>
      <c r="AV15" s="21">
        <v>0.11</v>
      </c>
      <c r="AW15" s="24">
        <f t="shared" si="3"/>
        <v>0.10999999999999999</v>
      </c>
      <c r="AY15" s="21">
        <v>0.11</v>
      </c>
      <c r="AZ15" s="24">
        <f t="shared" si="4"/>
        <v>0.10999999999999999</v>
      </c>
      <c r="BB15" s="21">
        <v>0.11</v>
      </c>
      <c r="BC15" s="24">
        <f t="shared" si="5"/>
        <v>0.10999999999999999</v>
      </c>
    </row>
    <row r="16" spans="1:55" x14ac:dyDescent="0.25">
      <c r="A16" s="6"/>
      <c r="C16" s="13" t="s">
        <v>273</v>
      </c>
      <c r="F16" s="14" t="s">
        <v>370</v>
      </c>
      <c r="Z16" s="17"/>
      <c r="AD16" s="1" t="s">
        <v>337</v>
      </c>
      <c r="AE16" s="1">
        <v>12</v>
      </c>
      <c r="AH16" s="1" t="s">
        <v>285</v>
      </c>
      <c r="AI16" s="1">
        <v>12</v>
      </c>
      <c r="AM16" s="21">
        <v>0.12</v>
      </c>
      <c r="AN16" s="24">
        <f t="shared" si="0"/>
        <v>0.11999999999999998</v>
      </c>
      <c r="AP16" s="21">
        <v>0.12</v>
      </c>
      <c r="AQ16" s="24">
        <f t="shared" si="1"/>
        <v>0.11999999999999998</v>
      </c>
      <c r="AS16" s="21">
        <v>0.12</v>
      </c>
      <c r="AT16" s="24">
        <f t="shared" si="2"/>
        <v>0.11999999999999998</v>
      </c>
      <c r="AV16" s="21">
        <v>0.12</v>
      </c>
      <c r="AW16" s="24">
        <f t="shared" si="3"/>
        <v>0.11999999999999998</v>
      </c>
      <c r="AY16" s="21">
        <v>0.12</v>
      </c>
      <c r="AZ16" s="24">
        <f t="shared" si="4"/>
        <v>0.11999999999999998</v>
      </c>
      <c r="BB16" s="21">
        <v>0.12</v>
      </c>
      <c r="BC16" s="24">
        <f t="shared" si="5"/>
        <v>0.11999999999999998</v>
      </c>
    </row>
    <row r="17" spans="1:55" x14ac:dyDescent="0.25">
      <c r="A17" s="5" t="s">
        <v>5</v>
      </c>
      <c r="Z17" s="17"/>
      <c r="AD17" s="1" t="s">
        <v>338</v>
      </c>
      <c r="AE17" s="1">
        <v>13</v>
      </c>
      <c r="AH17" s="1" t="s">
        <v>286</v>
      </c>
      <c r="AI17" s="1">
        <v>13</v>
      </c>
      <c r="AM17" s="21">
        <v>0.13</v>
      </c>
      <c r="AN17" s="24">
        <f t="shared" si="0"/>
        <v>0.12999999999999998</v>
      </c>
      <c r="AP17" s="21">
        <v>0.13</v>
      </c>
      <c r="AQ17" s="24">
        <f t="shared" si="1"/>
        <v>0.12999999999999998</v>
      </c>
      <c r="AS17" s="21">
        <v>0.13</v>
      </c>
      <c r="AT17" s="24">
        <f t="shared" si="2"/>
        <v>0.12999999999999998</v>
      </c>
      <c r="AV17" s="21">
        <v>0.13</v>
      </c>
      <c r="AW17" s="24">
        <f t="shared" si="3"/>
        <v>0.12999999999999998</v>
      </c>
      <c r="AY17" s="21">
        <v>0.13</v>
      </c>
      <c r="AZ17" s="24">
        <f t="shared" si="4"/>
        <v>0.12999999999999998</v>
      </c>
      <c r="BB17" s="21">
        <v>0.13</v>
      </c>
      <c r="BC17" s="24">
        <f t="shared" si="5"/>
        <v>0.12999999999999998</v>
      </c>
    </row>
    <row r="18" spans="1:55" x14ac:dyDescent="0.25">
      <c r="A18" s="6"/>
      <c r="C18" s="9" t="s">
        <v>351</v>
      </c>
      <c r="D18" s="25">
        <f>+$D$6*$AD$34</f>
        <v>32</v>
      </c>
      <c r="F18" s="14" t="s">
        <v>370</v>
      </c>
      <c r="Z18" s="17"/>
      <c r="AD18" s="1" t="s">
        <v>339</v>
      </c>
      <c r="AE18" s="1">
        <v>14</v>
      </c>
      <c r="AH18" s="1" t="s">
        <v>287</v>
      </c>
      <c r="AI18" s="1">
        <v>14</v>
      </c>
      <c r="AM18" s="21">
        <v>0.14000000000000001</v>
      </c>
      <c r="AN18" s="24">
        <f t="shared" si="0"/>
        <v>0.13999999999999999</v>
      </c>
      <c r="AP18" s="21">
        <v>0.14000000000000001</v>
      </c>
      <c r="AQ18" s="24">
        <f t="shared" si="1"/>
        <v>0.13999999999999999</v>
      </c>
      <c r="AS18" s="21">
        <v>0.14000000000000001</v>
      </c>
      <c r="AT18" s="24">
        <f t="shared" si="2"/>
        <v>0.13999999999999999</v>
      </c>
      <c r="AV18" s="21">
        <v>0.14000000000000001</v>
      </c>
      <c r="AW18" s="24">
        <f t="shared" si="3"/>
        <v>0.13999999999999999</v>
      </c>
      <c r="AY18" s="21">
        <v>0.14000000000000001</v>
      </c>
      <c r="AZ18" s="24">
        <f t="shared" si="4"/>
        <v>0.13999999999999999</v>
      </c>
      <c r="BB18" s="21">
        <v>0.14000000000000001</v>
      </c>
      <c r="BC18" s="24">
        <f t="shared" si="5"/>
        <v>0.13999999999999999</v>
      </c>
    </row>
    <row r="19" spans="1:55" x14ac:dyDescent="0.25">
      <c r="A19" s="5" t="s">
        <v>6</v>
      </c>
      <c r="Z19" s="17"/>
      <c r="AD19" s="1" t="s">
        <v>340</v>
      </c>
      <c r="AE19" s="1">
        <v>15</v>
      </c>
      <c r="AH19" s="1" t="s">
        <v>288</v>
      </c>
      <c r="AI19" s="1">
        <v>15</v>
      </c>
      <c r="AM19" s="21">
        <v>0.15</v>
      </c>
      <c r="AN19" s="24">
        <f t="shared" si="0"/>
        <v>0.15</v>
      </c>
      <c r="AP19" s="21">
        <v>0.15</v>
      </c>
      <c r="AQ19" s="24">
        <f t="shared" si="1"/>
        <v>0.15</v>
      </c>
      <c r="AS19" s="21">
        <v>0.15</v>
      </c>
      <c r="AT19" s="24">
        <f t="shared" si="2"/>
        <v>0.15</v>
      </c>
      <c r="AV19" s="21">
        <v>0.15</v>
      </c>
      <c r="AW19" s="24">
        <f t="shared" si="3"/>
        <v>0.15</v>
      </c>
      <c r="AY19" s="21">
        <v>0.15</v>
      </c>
      <c r="AZ19" s="24">
        <f t="shared" si="4"/>
        <v>0.15</v>
      </c>
      <c r="BB19" s="21">
        <v>0.15</v>
      </c>
      <c r="BC19" s="24">
        <f t="shared" si="5"/>
        <v>0.15</v>
      </c>
    </row>
    <row r="20" spans="1:55" x14ac:dyDescent="0.25">
      <c r="C20" s="9" t="s">
        <v>352</v>
      </c>
      <c r="D20" s="25">
        <f>+$Y$34*$AD$34*$AH$59</f>
        <v>960</v>
      </c>
      <c r="F20" s="14" t="s">
        <v>370</v>
      </c>
      <c r="Z20" s="17"/>
      <c r="AD20" s="1" t="s">
        <v>341</v>
      </c>
      <c r="AE20" s="1">
        <v>16</v>
      </c>
      <c r="AH20" s="1" t="s">
        <v>289</v>
      </c>
      <c r="AI20" s="1">
        <v>16</v>
      </c>
      <c r="AM20" s="21">
        <v>0.16</v>
      </c>
      <c r="AN20" s="24">
        <f t="shared" si="0"/>
        <v>0.16</v>
      </c>
      <c r="AP20" s="21">
        <v>0.16</v>
      </c>
      <c r="AQ20" s="24">
        <f t="shared" si="1"/>
        <v>0.16</v>
      </c>
      <c r="AS20" s="21">
        <v>0.16</v>
      </c>
      <c r="AT20" s="24">
        <f t="shared" si="2"/>
        <v>0.16</v>
      </c>
      <c r="AV20" s="21">
        <v>0.16</v>
      </c>
      <c r="AW20" s="24">
        <f t="shared" si="3"/>
        <v>0.16</v>
      </c>
      <c r="AY20" s="21">
        <v>0.16</v>
      </c>
      <c r="AZ20" s="24">
        <f t="shared" si="4"/>
        <v>0.16</v>
      </c>
      <c r="BB20" s="21">
        <v>0.16</v>
      </c>
      <c r="BC20" s="24">
        <f t="shared" si="5"/>
        <v>0.16</v>
      </c>
    </row>
    <row r="21" spans="1:55" x14ac:dyDescent="0.25">
      <c r="Z21" s="17"/>
      <c r="AD21" s="1" t="s">
        <v>342</v>
      </c>
      <c r="AE21" s="1">
        <v>17</v>
      </c>
      <c r="AH21" s="1" t="s">
        <v>290</v>
      </c>
      <c r="AI21" s="1">
        <v>17</v>
      </c>
      <c r="AM21" s="21">
        <v>0.17</v>
      </c>
      <c r="AN21" s="24">
        <f t="shared" si="0"/>
        <v>0.17</v>
      </c>
      <c r="AP21" s="21">
        <v>0.17</v>
      </c>
      <c r="AQ21" s="24">
        <f t="shared" si="1"/>
        <v>0.17</v>
      </c>
      <c r="AS21" s="21">
        <v>0.17</v>
      </c>
      <c r="AT21" s="24">
        <f t="shared" si="2"/>
        <v>0.17</v>
      </c>
      <c r="AV21" s="21">
        <v>0.17</v>
      </c>
      <c r="AW21" s="24">
        <f t="shared" si="3"/>
        <v>0.17</v>
      </c>
      <c r="AY21" s="21">
        <v>0.17</v>
      </c>
      <c r="AZ21" s="24">
        <f t="shared" si="4"/>
        <v>0.17</v>
      </c>
      <c r="BB21" s="21">
        <v>0.17</v>
      </c>
      <c r="BC21" s="24">
        <f t="shared" si="5"/>
        <v>0.17</v>
      </c>
    </row>
    <row r="22" spans="1:55" x14ac:dyDescent="0.25">
      <c r="C22" s="9" t="s">
        <v>353</v>
      </c>
      <c r="D22" s="25">
        <f>+$D$10*11*$D$14</f>
        <v>352</v>
      </c>
      <c r="F22" s="14" t="s">
        <v>370</v>
      </c>
      <c r="Z22" s="17"/>
      <c r="AD22" s="1" t="s">
        <v>343</v>
      </c>
      <c r="AE22" s="1">
        <v>18</v>
      </c>
      <c r="AH22" s="1" t="s">
        <v>291</v>
      </c>
      <c r="AI22" s="1">
        <v>18</v>
      </c>
      <c r="AM22" s="21">
        <v>0.18</v>
      </c>
      <c r="AN22" s="24">
        <f t="shared" si="0"/>
        <v>0.18000000000000002</v>
      </c>
      <c r="AP22" s="21">
        <v>0.18</v>
      </c>
      <c r="AQ22" s="24">
        <f t="shared" si="1"/>
        <v>0.18000000000000002</v>
      </c>
      <c r="AS22" s="21">
        <v>0.18</v>
      </c>
      <c r="AT22" s="24">
        <f t="shared" si="2"/>
        <v>0.18000000000000002</v>
      </c>
      <c r="AV22" s="21">
        <v>0.18</v>
      </c>
      <c r="AW22" s="24">
        <f t="shared" si="3"/>
        <v>0.18000000000000002</v>
      </c>
      <c r="AY22" s="21">
        <v>0.18</v>
      </c>
      <c r="AZ22" s="24">
        <f t="shared" si="4"/>
        <v>0.18000000000000002</v>
      </c>
      <c r="BB22" s="21">
        <v>0.18</v>
      </c>
      <c r="BC22" s="24">
        <f t="shared" si="5"/>
        <v>0.18000000000000002</v>
      </c>
    </row>
    <row r="23" spans="1:55" x14ac:dyDescent="0.25">
      <c r="Z23" s="17"/>
      <c r="AE23" s="17"/>
      <c r="AH23" s="1" t="s">
        <v>292</v>
      </c>
      <c r="AI23" s="1">
        <v>19</v>
      </c>
      <c r="AM23" s="21">
        <v>0.19</v>
      </c>
      <c r="AN23" s="24">
        <f t="shared" si="0"/>
        <v>0.19000000000000003</v>
      </c>
      <c r="AP23" s="21">
        <v>0.19</v>
      </c>
      <c r="AQ23" s="24">
        <f t="shared" si="1"/>
        <v>0.19000000000000003</v>
      </c>
      <c r="AS23" s="21">
        <v>0.19</v>
      </c>
      <c r="AT23" s="24">
        <f t="shared" si="2"/>
        <v>0.19000000000000003</v>
      </c>
      <c r="AV23" s="21">
        <v>0.19</v>
      </c>
      <c r="AW23" s="24">
        <f t="shared" si="3"/>
        <v>0.19000000000000003</v>
      </c>
      <c r="AY23" s="21">
        <v>0.19</v>
      </c>
      <c r="AZ23" s="24">
        <f t="shared" si="4"/>
        <v>0.19000000000000003</v>
      </c>
      <c r="BB23" s="21">
        <v>0.19</v>
      </c>
      <c r="BC23" s="24">
        <f t="shared" si="5"/>
        <v>0.19000000000000003</v>
      </c>
    </row>
    <row r="24" spans="1:55" x14ac:dyDescent="0.25">
      <c r="Z24" s="17"/>
      <c r="AE24" s="17"/>
      <c r="AH24" s="1" t="s">
        <v>293</v>
      </c>
      <c r="AI24" s="1">
        <v>20</v>
      </c>
      <c r="AM24" s="21">
        <v>0.2</v>
      </c>
      <c r="AN24" s="24">
        <f t="shared" si="0"/>
        <v>0.20000000000000004</v>
      </c>
      <c r="AP24" s="21">
        <v>0.2</v>
      </c>
      <c r="AQ24" s="24">
        <f t="shared" si="1"/>
        <v>0.20000000000000004</v>
      </c>
      <c r="AS24" s="21">
        <v>0.2</v>
      </c>
      <c r="AT24" s="24">
        <f t="shared" si="2"/>
        <v>0.20000000000000004</v>
      </c>
      <c r="AV24" s="21">
        <v>0.2</v>
      </c>
      <c r="AW24" s="24">
        <f t="shared" si="3"/>
        <v>0.20000000000000004</v>
      </c>
      <c r="AY24" s="21">
        <v>0.2</v>
      </c>
      <c r="AZ24" s="24">
        <f t="shared" si="4"/>
        <v>0.20000000000000004</v>
      </c>
      <c r="BB24" s="21">
        <v>0.2</v>
      </c>
      <c r="BC24" s="24">
        <f t="shared" si="5"/>
        <v>0.20000000000000004</v>
      </c>
    </row>
    <row r="25" spans="1:55" ht="16.5" thickBot="1" x14ac:dyDescent="0.3">
      <c r="C25" s="44" t="s">
        <v>354</v>
      </c>
      <c r="D25" s="44"/>
      <c r="F25" s="13" t="s">
        <v>51</v>
      </c>
      <c r="G25" s="13" t="s">
        <v>52</v>
      </c>
      <c r="Z25" s="17"/>
      <c r="AE25" s="17"/>
      <c r="AH25" s="1" t="s">
        <v>294</v>
      </c>
      <c r="AI25" s="1">
        <v>21</v>
      </c>
      <c r="AM25" s="21">
        <v>0.21</v>
      </c>
      <c r="AN25" s="24">
        <f t="shared" si="0"/>
        <v>0.21000000000000005</v>
      </c>
      <c r="AP25" s="21">
        <v>0.21</v>
      </c>
      <c r="AQ25" s="24">
        <f t="shared" si="1"/>
        <v>0.21000000000000005</v>
      </c>
      <c r="AS25" s="21">
        <v>0.21</v>
      </c>
      <c r="AT25" s="24">
        <f t="shared" si="2"/>
        <v>0.21000000000000005</v>
      </c>
      <c r="AV25" s="21">
        <v>0.21</v>
      </c>
      <c r="AW25" s="24">
        <f t="shared" si="3"/>
        <v>0.21000000000000005</v>
      </c>
      <c r="AY25" s="21">
        <v>0.21</v>
      </c>
      <c r="AZ25" s="24">
        <f t="shared" si="4"/>
        <v>0.21000000000000005</v>
      </c>
      <c r="BB25" s="21">
        <v>0.21</v>
      </c>
      <c r="BC25" s="24">
        <f t="shared" si="5"/>
        <v>0.21000000000000005</v>
      </c>
    </row>
    <row r="26" spans="1:55" x14ac:dyDescent="0.25">
      <c r="Z26" s="17"/>
      <c r="AE26" s="17"/>
      <c r="AH26" s="1" t="s">
        <v>295</v>
      </c>
      <c r="AI26" s="1">
        <v>22</v>
      </c>
      <c r="AM26" s="21">
        <v>0.22</v>
      </c>
      <c r="AN26" s="24">
        <f t="shared" si="0"/>
        <v>0.22000000000000006</v>
      </c>
      <c r="AP26" s="21">
        <v>0.22</v>
      </c>
      <c r="AQ26" s="24">
        <f t="shared" si="1"/>
        <v>0.22000000000000006</v>
      </c>
      <c r="AS26" s="21">
        <v>0.22</v>
      </c>
      <c r="AT26" s="24">
        <f t="shared" si="2"/>
        <v>0.22000000000000006</v>
      </c>
      <c r="AV26" s="21">
        <v>0.22</v>
      </c>
      <c r="AW26" s="24">
        <f t="shared" si="3"/>
        <v>0.22000000000000006</v>
      </c>
      <c r="AY26" s="21">
        <v>0.22</v>
      </c>
      <c r="AZ26" s="24">
        <f t="shared" si="4"/>
        <v>0.22000000000000006</v>
      </c>
      <c r="BB26" s="21">
        <v>0.22</v>
      </c>
      <c r="BC26" s="24">
        <f t="shared" si="5"/>
        <v>0.22000000000000006</v>
      </c>
    </row>
    <row r="27" spans="1:55" x14ac:dyDescent="0.25">
      <c r="C27" s="20" t="s">
        <v>361</v>
      </c>
      <c r="D27" s="31">
        <v>18</v>
      </c>
      <c r="F27" s="14" t="s">
        <v>370</v>
      </c>
      <c r="Z27" s="17"/>
      <c r="AE27" s="17"/>
      <c r="AH27" s="1" t="s">
        <v>296</v>
      </c>
      <c r="AI27" s="1">
        <v>23</v>
      </c>
      <c r="AM27" s="21">
        <v>0.23</v>
      </c>
      <c r="AN27" s="24">
        <f t="shared" si="0"/>
        <v>0.23000000000000007</v>
      </c>
      <c r="AP27" s="21">
        <v>0.23</v>
      </c>
      <c r="AQ27" s="24">
        <f t="shared" si="1"/>
        <v>0.23000000000000007</v>
      </c>
      <c r="AS27" s="21">
        <v>0.23</v>
      </c>
      <c r="AT27" s="24">
        <f t="shared" si="2"/>
        <v>0.23000000000000007</v>
      </c>
      <c r="AV27" s="21">
        <v>0.23</v>
      </c>
      <c r="AW27" s="24">
        <f t="shared" si="3"/>
        <v>0.23000000000000007</v>
      </c>
      <c r="AY27" s="21">
        <v>0.23</v>
      </c>
      <c r="AZ27" s="24">
        <f t="shared" si="4"/>
        <v>0.23000000000000007</v>
      </c>
      <c r="BB27" s="21">
        <v>0.23</v>
      </c>
      <c r="BC27" s="24">
        <f t="shared" si="5"/>
        <v>0.23000000000000007</v>
      </c>
    </row>
    <row r="28" spans="1:55" x14ac:dyDescent="0.25">
      <c r="Z28" s="17"/>
      <c r="AE28" s="17"/>
      <c r="AH28" s="1" t="s">
        <v>297</v>
      </c>
      <c r="AI28" s="1">
        <v>24</v>
      </c>
      <c r="AM28" s="21">
        <v>0.24</v>
      </c>
      <c r="AN28" s="24">
        <f t="shared" si="0"/>
        <v>0.24000000000000007</v>
      </c>
      <c r="AP28" s="21">
        <v>0.24</v>
      </c>
      <c r="AQ28" s="24">
        <f t="shared" si="1"/>
        <v>0.24000000000000007</v>
      </c>
      <c r="AS28" s="21">
        <v>0.24</v>
      </c>
      <c r="AT28" s="24">
        <f t="shared" si="2"/>
        <v>0.24000000000000007</v>
      </c>
      <c r="AV28" s="21">
        <v>0.24</v>
      </c>
      <c r="AW28" s="24">
        <f t="shared" si="3"/>
        <v>0.24000000000000007</v>
      </c>
      <c r="AY28" s="21">
        <v>0.24</v>
      </c>
      <c r="AZ28" s="24">
        <f t="shared" si="4"/>
        <v>0.24000000000000007</v>
      </c>
      <c r="BB28" s="21">
        <v>0.24</v>
      </c>
      <c r="BC28" s="24">
        <f t="shared" si="5"/>
        <v>0.24000000000000007</v>
      </c>
    </row>
    <row r="29" spans="1:55" x14ac:dyDescent="0.25">
      <c r="C29" s="20" t="s">
        <v>355</v>
      </c>
      <c r="F29" s="14" t="s">
        <v>370</v>
      </c>
      <c r="Z29" s="17"/>
      <c r="AE29" s="17"/>
      <c r="AH29" s="1" t="s">
        <v>298</v>
      </c>
      <c r="AI29" s="1">
        <v>25</v>
      </c>
      <c r="AM29" s="21">
        <v>0.25</v>
      </c>
      <c r="AN29" s="24">
        <f t="shared" si="0"/>
        <v>0.25000000000000006</v>
      </c>
      <c r="AP29" s="21">
        <v>0.25</v>
      </c>
      <c r="AQ29" s="24">
        <f t="shared" si="1"/>
        <v>0.25000000000000006</v>
      </c>
      <c r="AS29" s="21">
        <v>0.25</v>
      </c>
      <c r="AT29" s="24">
        <f t="shared" si="2"/>
        <v>0.25000000000000006</v>
      </c>
      <c r="AV29" s="21">
        <v>0.25</v>
      </c>
      <c r="AW29" s="24">
        <f t="shared" si="3"/>
        <v>0.25000000000000006</v>
      </c>
      <c r="AY29" s="21">
        <v>0.25</v>
      </c>
      <c r="AZ29" s="24">
        <f t="shared" si="4"/>
        <v>0.25000000000000006</v>
      </c>
      <c r="BB29" s="21">
        <v>0.25</v>
      </c>
      <c r="BC29" s="24">
        <f t="shared" si="5"/>
        <v>0.25000000000000006</v>
      </c>
    </row>
    <row r="30" spans="1:55" x14ac:dyDescent="0.25">
      <c r="Z30" s="17"/>
      <c r="AE30" s="17"/>
      <c r="AH30" s="1" t="s">
        <v>299</v>
      </c>
      <c r="AI30" s="1">
        <v>26</v>
      </c>
      <c r="AM30" s="21">
        <v>0.26</v>
      </c>
      <c r="AN30" s="24">
        <f t="shared" si="0"/>
        <v>0.26000000000000006</v>
      </c>
      <c r="AP30" s="21">
        <v>0.26</v>
      </c>
      <c r="AQ30" s="24">
        <f t="shared" si="1"/>
        <v>0.26000000000000006</v>
      </c>
      <c r="AS30" s="21">
        <v>0.26</v>
      </c>
      <c r="AT30" s="24">
        <f t="shared" si="2"/>
        <v>0.26000000000000006</v>
      </c>
      <c r="AV30" s="21">
        <v>0.26</v>
      </c>
      <c r="AW30" s="24">
        <f t="shared" si="3"/>
        <v>0.26000000000000006</v>
      </c>
      <c r="AY30" s="21">
        <v>0.26</v>
      </c>
      <c r="AZ30" s="24">
        <f t="shared" si="4"/>
        <v>0.26000000000000006</v>
      </c>
      <c r="BB30" s="21">
        <v>0.26</v>
      </c>
      <c r="BC30" s="24">
        <f t="shared" si="5"/>
        <v>0.26000000000000006</v>
      </c>
    </row>
    <row r="31" spans="1:55" x14ac:dyDescent="0.25">
      <c r="C31" s="20" t="s">
        <v>356</v>
      </c>
      <c r="D31" s="26">
        <f>1-AN107</f>
        <v>0.14999999999999947</v>
      </c>
      <c r="F31" s="14" t="s">
        <v>370</v>
      </c>
      <c r="Z31" s="17"/>
      <c r="AE31" s="17"/>
      <c r="AH31" s="1" t="s">
        <v>300</v>
      </c>
      <c r="AI31" s="1">
        <v>27</v>
      </c>
      <c r="AM31" s="21">
        <v>0.27</v>
      </c>
      <c r="AN31" s="24">
        <f t="shared" si="0"/>
        <v>0.27000000000000007</v>
      </c>
      <c r="AP31" s="21">
        <v>0.27</v>
      </c>
      <c r="AQ31" s="24">
        <f t="shared" si="1"/>
        <v>0.27000000000000007</v>
      </c>
      <c r="AS31" s="21">
        <v>0.27</v>
      </c>
      <c r="AT31" s="24">
        <f t="shared" si="2"/>
        <v>0.27000000000000007</v>
      </c>
      <c r="AV31" s="21">
        <v>0.27</v>
      </c>
      <c r="AW31" s="24">
        <f t="shared" si="3"/>
        <v>0.27000000000000007</v>
      </c>
      <c r="AY31" s="21">
        <v>0.27</v>
      </c>
      <c r="AZ31" s="24">
        <f t="shared" si="4"/>
        <v>0.27000000000000007</v>
      </c>
      <c r="BB31" s="21">
        <v>0.27</v>
      </c>
      <c r="BC31" s="24">
        <f t="shared" si="5"/>
        <v>0.27000000000000007</v>
      </c>
    </row>
    <row r="32" spans="1:55" x14ac:dyDescent="0.25">
      <c r="AH32" s="1" t="s">
        <v>301</v>
      </c>
      <c r="AI32" s="1">
        <v>28</v>
      </c>
      <c r="AM32" s="21">
        <v>0.28000000000000003</v>
      </c>
      <c r="AN32" s="24">
        <f t="shared" si="0"/>
        <v>0.28000000000000008</v>
      </c>
      <c r="AP32" s="21">
        <v>0.28000000000000003</v>
      </c>
      <c r="AQ32" s="24">
        <f t="shared" si="1"/>
        <v>0.28000000000000008</v>
      </c>
      <c r="AS32" s="21">
        <v>0.28000000000000003</v>
      </c>
      <c r="AT32" s="24">
        <f t="shared" si="2"/>
        <v>0.28000000000000008</v>
      </c>
      <c r="AV32" s="21">
        <v>0.28000000000000003</v>
      </c>
      <c r="AW32" s="24">
        <f t="shared" si="3"/>
        <v>0.28000000000000008</v>
      </c>
      <c r="AY32" s="21">
        <v>0.28000000000000003</v>
      </c>
      <c r="AZ32" s="24">
        <f t="shared" si="4"/>
        <v>0.28000000000000008</v>
      </c>
      <c r="BB32" s="21">
        <v>0.28000000000000003</v>
      </c>
      <c r="BC32" s="24">
        <f t="shared" si="5"/>
        <v>0.28000000000000008</v>
      </c>
    </row>
    <row r="33" spans="3:55" x14ac:dyDescent="0.25">
      <c r="C33" s="20" t="s">
        <v>359</v>
      </c>
      <c r="D33" s="27">
        <f>+D27*$AN$107</f>
        <v>15.30000000000001</v>
      </c>
      <c r="F33" s="14" t="s">
        <v>370</v>
      </c>
      <c r="X33" s="1" t="s">
        <v>17</v>
      </c>
      <c r="Y33" s="1" t="s">
        <v>264</v>
      </c>
      <c r="AC33" s="1" t="s">
        <v>17</v>
      </c>
      <c r="AD33" s="1" t="s">
        <v>268</v>
      </c>
      <c r="AH33" s="1" t="s">
        <v>302</v>
      </c>
      <c r="AI33" s="1">
        <v>29</v>
      </c>
      <c r="AM33" s="21">
        <v>0.28999999999999998</v>
      </c>
      <c r="AN33" s="24">
        <f t="shared" si="0"/>
        <v>0.29000000000000009</v>
      </c>
      <c r="AP33" s="21">
        <v>0.28999999999999998</v>
      </c>
      <c r="AQ33" s="24">
        <f t="shared" si="1"/>
        <v>0.29000000000000009</v>
      </c>
      <c r="AS33" s="21">
        <v>0.28999999999999998</v>
      </c>
      <c r="AT33" s="24">
        <f t="shared" si="2"/>
        <v>0.29000000000000009</v>
      </c>
      <c r="AV33" s="21">
        <v>0.28999999999999998</v>
      </c>
      <c r="AW33" s="24">
        <f t="shared" si="3"/>
        <v>0.29000000000000009</v>
      </c>
      <c r="AY33" s="21">
        <v>0.28999999999999998</v>
      </c>
      <c r="AZ33" s="24">
        <f t="shared" si="4"/>
        <v>0.29000000000000009</v>
      </c>
      <c r="BB33" s="21">
        <v>0.28999999999999998</v>
      </c>
      <c r="BC33" s="24">
        <f t="shared" si="5"/>
        <v>0.29000000000000009</v>
      </c>
    </row>
    <row r="34" spans="3:55" x14ac:dyDescent="0.25">
      <c r="X34" s="1">
        <v>6</v>
      </c>
      <c r="Y34" s="1">
        <f>CHOOSE(X34,Z4,Z5,Z6,Z7,Z8,Z9,Z10,Z11)</f>
        <v>5</v>
      </c>
      <c r="AC34" s="1">
        <v>5</v>
      </c>
      <c r="AD34" s="1">
        <f>CHOOSE(AC34,AE4,AE5,AE6,AE7,AE8,AE9,AE10,AE11,AE12,AE13,AE14,AE15,AE16,AE17,AE18,AE19,AE20,AE21,AE22)</f>
        <v>4</v>
      </c>
      <c r="AH34" s="1" t="s">
        <v>303</v>
      </c>
      <c r="AI34" s="1">
        <v>30</v>
      </c>
      <c r="AM34" s="21">
        <v>0.3</v>
      </c>
      <c r="AN34" s="24">
        <f t="shared" si="0"/>
        <v>0.3000000000000001</v>
      </c>
      <c r="AP34" s="21">
        <v>0.3</v>
      </c>
      <c r="AQ34" s="24">
        <f t="shared" si="1"/>
        <v>0.3000000000000001</v>
      </c>
      <c r="AS34" s="21">
        <v>0.3</v>
      </c>
      <c r="AT34" s="24">
        <f t="shared" si="2"/>
        <v>0.3000000000000001</v>
      </c>
      <c r="AV34" s="21">
        <v>0.3</v>
      </c>
      <c r="AW34" s="24">
        <f t="shared" si="3"/>
        <v>0.3000000000000001</v>
      </c>
      <c r="AY34" s="21">
        <v>0.3</v>
      </c>
      <c r="AZ34" s="24">
        <f t="shared" si="4"/>
        <v>0.3000000000000001</v>
      </c>
      <c r="BB34" s="21">
        <v>0.3</v>
      </c>
      <c r="BC34" s="24">
        <f t="shared" si="5"/>
        <v>0.3000000000000001</v>
      </c>
    </row>
    <row r="35" spans="3:55" x14ac:dyDescent="0.25">
      <c r="C35" s="20" t="s">
        <v>358</v>
      </c>
      <c r="D35" s="27">
        <f>+D27*(1-$AN$107)</f>
        <v>2.6999999999999904</v>
      </c>
      <c r="F35" s="14" t="s">
        <v>370</v>
      </c>
      <c r="AH35" s="1" t="s">
        <v>304</v>
      </c>
      <c r="AI35" s="1">
        <v>31</v>
      </c>
      <c r="AM35" s="21">
        <v>0.31</v>
      </c>
      <c r="AN35" s="24">
        <f t="shared" si="0"/>
        <v>0.31000000000000011</v>
      </c>
      <c r="AP35" s="21">
        <v>0.31</v>
      </c>
      <c r="AQ35" s="24">
        <f t="shared" si="1"/>
        <v>0.31000000000000011</v>
      </c>
      <c r="AS35" s="21">
        <v>0.31</v>
      </c>
      <c r="AT35" s="24">
        <f t="shared" si="2"/>
        <v>0.31000000000000011</v>
      </c>
      <c r="AV35" s="21">
        <v>0.31</v>
      </c>
      <c r="AW35" s="24">
        <f t="shared" si="3"/>
        <v>0.31000000000000011</v>
      </c>
      <c r="AY35" s="21">
        <v>0.31</v>
      </c>
      <c r="AZ35" s="24">
        <f t="shared" si="4"/>
        <v>0.31000000000000011</v>
      </c>
      <c r="BB35" s="21">
        <v>0.31</v>
      </c>
      <c r="BC35" s="24">
        <f t="shared" si="5"/>
        <v>0.31000000000000011</v>
      </c>
    </row>
    <row r="36" spans="3:55" x14ac:dyDescent="0.25">
      <c r="AH36" s="1" t="s">
        <v>305</v>
      </c>
      <c r="AI36" s="1">
        <v>32</v>
      </c>
      <c r="AM36" s="21">
        <v>0.32</v>
      </c>
      <c r="AN36" s="24">
        <f t="shared" si="0"/>
        <v>0.32000000000000012</v>
      </c>
      <c r="AP36" s="21">
        <v>0.32</v>
      </c>
      <c r="AQ36" s="24">
        <f t="shared" si="1"/>
        <v>0.32000000000000012</v>
      </c>
      <c r="AS36" s="21">
        <v>0.32</v>
      </c>
      <c r="AT36" s="24">
        <f t="shared" si="2"/>
        <v>0.32000000000000012</v>
      </c>
      <c r="AV36" s="21">
        <v>0.32</v>
      </c>
      <c r="AW36" s="24">
        <f t="shared" si="3"/>
        <v>0.32000000000000012</v>
      </c>
      <c r="AY36" s="21">
        <v>0.32</v>
      </c>
      <c r="AZ36" s="24">
        <f t="shared" si="4"/>
        <v>0.32000000000000012</v>
      </c>
      <c r="BB36" s="21">
        <v>0.32</v>
      </c>
      <c r="BC36" s="24">
        <f t="shared" si="5"/>
        <v>0.32000000000000012</v>
      </c>
    </row>
    <row r="37" spans="3:55" x14ac:dyDescent="0.25">
      <c r="C37" s="20" t="s">
        <v>360</v>
      </c>
      <c r="D37" s="25">
        <f>+$D$27*$D$20</f>
        <v>17280</v>
      </c>
      <c r="F37" s="14" t="s">
        <v>370</v>
      </c>
      <c r="AH37" s="1" t="s">
        <v>306</v>
      </c>
      <c r="AI37" s="1">
        <v>33</v>
      </c>
      <c r="AM37" s="21">
        <v>0.33</v>
      </c>
      <c r="AN37" s="24">
        <f t="shared" si="0"/>
        <v>0.33000000000000013</v>
      </c>
      <c r="AP37" s="21">
        <v>0.33</v>
      </c>
      <c r="AQ37" s="24">
        <f t="shared" si="1"/>
        <v>0.33000000000000013</v>
      </c>
      <c r="AS37" s="21">
        <v>0.33</v>
      </c>
      <c r="AT37" s="24">
        <f t="shared" si="2"/>
        <v>0.33000000000000013</v>
      </c>
      <c r="AV37" s="21">
        <v>0.33</v>
      </c>
      <c r="AW37" s="24">
        <f t="shared" si="3"/>
        <v>0.33000000000000013</v>
      </c>
      <c r="AY37" s="21">
        <v>0.33</v>
      </c>
      <c r="AZ37" s="24">
        <f t="shared" si="4"/>
        <v>0.33000000000000013</v>
      </c>
      <c r="BB37" s="21">
        <v>0.33</v>
      </c>
      <c r="BC37" s="24">
        <f t="shared" si="5"/>
        <v>0.33000000000000013</v>
      </c>
    </row>
    <row r="38" spans="3:55" x14ac:dyDescent="0.25">
      <c r="AH38" s="1" t="s">
        <v>307</v>
      </c>
      <c r="AI38" s="1">
        <v>34</v>
      </c>
      <c r="AM38" s="21">
        <v>0.34</v>
      </c>
      <c r="AN38" s="24">
        <f t="shared" si="0"/>
        <v>0.34000000000000014</v>
      </c>
      <c r="AP38" s="21">
        <v>0.34</v>
      </c>
      <c r="AQ38" s="24">
        <f t="shared" si="1"/>
        <v>0.34000000000000014</v>
      </c>
      <c r="AS38" s="21">
        <v>0.34</v>
      </c>
      <c r="AT38" s="24">
        <f t="shared" si="2"/>
        <v>0.34000000000000014</v>
      </c>
      <c r="AV38" s="21">
        <v>0.34</v>
      </c>
      <c r="AW38" s="24">
        <f t="shared" si="3"/>
        <v>0.34000000000000014</v>
      </c>
      <c r="AY38" s="21">
        <v>0.34</v>
      </c>
      <c r="AZ38" s="24">
        <f t="shared" si="4"/>
        <v>0.34000000000000014</v>
      </c>
      <c r="BB38" s="21">
        <v>0.34</v>
      </c>
      <c r="BC38" s="24">
        <f t="shared" si="5"/>
        <v>0.34000000000000014</v>
      </c>
    </row>
    <row r="39" spans="3:55" x14ac:dyDescent="0.25">
      <c r="C39" s="20" t="s">
        <v>372</v>
      </c>
      <c r="D39" s="25">
        <f>+D37-($D$27*$D$22)</f>
        <v>10944</v>
      </c>
      <c r="F39" s="14" t="s">
        <v>370</v>
      </c>
      <c r="AH39" s="1" t="s">
        <v>308</v>
      </c>
      <c r="AI39" s="1">
        <v>35</v>
      </c>
      <c r="AM39" s="21">
        <v>0.35</v>
      </c>
      <c r="AN39" s="24">
        <f t="shared" si="0"/>
        <v>0.35000000000000014</v>
      </c>
      <c r="AP39" s="21">
        <v>0.35</v>
      </c>
      <c r="AQ39" s="24">
        <f t="shared" si="1"/>
        <v>0.35000000000000014</v>
      </c>
      <c r="AS39" s="21">
        <v>0.35</v>
      </c>
      <c r="AT39" s="24">
        <f t="shared" si="2"/>
        <v>0.35000000000000014</v>
      </c>
      <c r="AV39" s="21">
        <v>0.35</v>
      </c>
      <c r="AW39" s="24">
        <f t="shared" si="3"/>
        <v>0.35000000000000014</v>
      </c>
      <c r="AY39" s="21">
        <v>0.35</v>
      </c>
      <c r="AZ39" s="24">
        <f t="shared" si="4"/>
        <v>0.35000000000000014</v>
      </c>
      <c r="BB39" s="21">
        <v>0.35</v>
      </c>
      <c r="BC39" s="24">
        <f t="shared" si="5"/>
        <v>0.35000000000000014</v>
      </c>
    </row>
    <row r="40" spans="3:55" x14ac:dyDescent="0.25">
      <c r="AH40" s="1" t="s">
        <v>309</v>
      </c>
      <c r="AI40" s="1">
        <v>36</v>
      </c>
      <c r="AM40" s="21">
        <v>0.36</v>
      </c>
      <c r="AN40" s="24">
        <f t="shared" si="0"/>
        <v>0.36000000000000015</v>
      </c>
      <c r="AP40" s="21">
        <v>0.36</v>
      </c>
      <c r="AQ40" s="24">
        <f t="shared" si="1"/>
        <v>0.36000000000000015</v>
      </c>
      <c r="AS40" s="21">
        <v>0.36</v>
      </c>
      <c r="AT40" s="24">
        <f t="shared" si="2"/>
        <v>0.36000000000000015</v>
      </c>
      <c r="AV40" s="21">
        <v>0.36</v>
      </c>
      <c r="AW40" s="24">
        <f t="shared" si="3"/>
        <v>0.36000000000000015</v>
      </c>
      <c r="AY40" s="21">
        <v>0.36</v>
      </c>
      <c r="AZ40" s="24">
        <f t="shared" si="4"/>
        <v>0.36000000000000015</v>
      </c>
      <c r="BB40" s="21">
        <v>0.36</v>
      </c>
      <c r="BC40" s="24">
        <f t="shared" si="5"/>
        <v>0.36000000000000015</v>
      </c>
    </row>
    <row r="41" spans="3:55" x14ac:dyDescent="0.25">
      <c r="AH41" s="1" t="s">
        <v>310</v>
      </c>
      <c r="AI41" s="1">
        <v>37</v>
      </c>
      <c r="AM41" s="21">
        <v>0.37</v>
      </c>
      <c r="AN41" s="24">
        <f t="shared" si="0"/>
        <v>0.37000000000000016</v>
      </c>
      <c r="AP41" s="21">
        <v>0.37</v>
      </c>
      <c r="AQ41" s="24">
        <f t="shared" si="1"/>
        <v>0.37000000000000016</v>
      </c>
      <c r="AS41" s="21">
        <v>0.37</v>
      </c>
      <c r="AT41" s="24">
        <f t="shared" si="2"/>
        <v>0.37000000000000016</v>
      </c>
      <c r="AV41" s="21">
        <v>0.37</v>
      </c>
      <c r="AW41" s="24">
        <f t="shared" si="3"/>
        <v>0.37000000000000016</v>
      </c>
      <c r="AY41" s="21">
        <v>0.37</v>
      </c>
      <c r="AZ41" s="24">
        <f t="shared" si="4"/>
        <v>0.37000000000000016</v>
      </c>
      <c r="BB41" s="21">
        <v>0.37</v>
      </c>
      <c r="BC41" s="24">
        <f t="shared" si="5"/>
        <v>0.37000000000000016</v>
      </c>
    </row>
    <row r="42" spans="3:55" ht="16.5" thickBot="1" x14ac:dyDescent="0.3">
      <c r="C42" s="44" t="s">
        <v>373</v>
      </c>
      <c r="D42" s="44"/>
      <c r="F42" s="13" t="s">
        <v>51</v>
      </c>
      <c r="G42" s="13" t="s">
        <v>52</v>
      </c>
      <c r="AH42" s="1" t="s">
        <v>311</v>
      </c>
      <c r="AI42" s="1">
        <v>38</v>
      </c>
      <c r="AM42" s="21">
        <v>0.38</v>
      </c>
      <c r="AN42" s="24">
        <f t="shared" si="0"/>
        <v>0.38000000000000017</v>
      </c>
      <c r="AP42" s="21">
        <v>0.38</v>
      </c>
      <c r="AQ42" s="24">
        <f t="shared" si="1"/>
        <v>0.38000000000000017</v>
      </c>
      <c r="AS42" s="21">
        <v>0.38</v>
      </c>
      <c r="AT42" s="24">
        <f t="shared" si="2"/>
        <v>0.38000000000000017</v>
      </c>
      <c r="AV42" s="21">
        <v>0.38</v>
      </c>
      <c r="AW42" s="24">
        <f t="shared" si="3"/>
        <v>0.38000000000000017</v>
      </c>
      <c r="AY42" s="21">
        <v>0.38</v>
      </c>
      <c r="AZ42" s="24">
        <f t="shared" si="4"/>
        <v>0.38000000000000017</v>
      </c>
      <c r="BB42" s="21">
        <v>0.38</v>
      </c>
      <c r="BC42" s="24">
        <f t="shared" si="5"/>
        <v>0.38000000000000017</v>
      </c>
    </row>
    <row r="43" spans="3:55" x14ac:dyDescent="0.25">
      <c r="P43" s="1" t="b">
        <v>0</v>
      </c>
      <c r="AH43" s="1" t="s">
        <v>312</v>
      </c>
      <c r="AI43" s="1">
        <v>39</v>
      </c>
      <c r="AM43" s="21">
        <v>0.39</v>
      </c>
      <c r="AN43" s="24">
        <f t="shared" si="0"/>
        <v>0.39000000000000018</v>
      </c>
      <c r="AP43" s="21">
        <v>0.39</v>
      </c>
      <c r="AQ43" s="24">
        <f t="shared" si="1"/>
        <v>0.39000000000000018</v>
      </c>
      <c r="AS43" s="21">
        <v>0.39</v>
      </c>
      <c r="AT43" s="24">
        <f t="shared" si="2"/>
        <v>0.39000000000000018</v>
      </c>
      <c r="AV43" s="21">
        <v>0.39</v>
      </c>
      <c r="AW43" s="24">
        <f t="shared" si="3"/>
        <v>0.39000000000000018</v>
      </c>
      <c r="AY43" s="21">
        <v>0.39</v>
      </c>
      <c r="AZ43" s="24">
        <f t="shared" si="4"/>
        <v>0.39000000000000018</v>
      </c>
      <c r="BB43" s="21">
        <v>0.39</v>
      </c>
      <c r="BC43" s="24">
        <f t="shared" si="5"/>
        <v>0.39000000000000018</v>
      </c>
    </row>
    <row r="44" spans="3:55" x14ac:dyDescent="0.25">
      <c r="C44" s="33" t="s">
        <v>374</v>
      </c>
      <c r="F44" s="14" t="s">
        <v>370</v>
      </c>
      <c r="AH44" s="1" t="s">
        <v>313</v>
      </c>
      <c r="AI44" s="1">
        <v>40</v>
      </c>
      <c r="AM44" s="21">
        <v>0.4</v>
      </c>
      <c r="AN44" s="24">
        <f t="shared" si="0"/>
        <v>0.40000000000000019</v>
      </c>
      <c r="AP44" s="21">
        <v>0.4</v>
      </c>
      <c r="AQ44" s="24">
        <f t="shared" si="1"/>
        <v>0.40000000000000019</v>
      </c>
      <c r="AS44" s="21">
        <v>0.4</v>
      </c>
      <c r="AT44" s="24">
        <f t="shared" si="2"/>
        <v>0.40000000000000019</v>
      </c>
      <c r="AV44" s="21">
        <v>0.4</v>
      </c>
      <c r="AW44" s="24">
        <f t="shared" si="3"/>
        <v>0.40000000000000019</v>
      </c>
      <c r="AY44" s="21">
        <v>0.4</v>
      </c>
      <c r="AZ44" s="24">
        <f t="shared" si="4"/>
        <v>0.40000000000000019</v>
      </c>
      <c r="BB44" s="21">
        <v>0.4</v>
      </c>
      <c r="BC44" s="24">
        <f t="shared" si="5"/>
        <v>0.40000000000000019</v>
      </c>
    </row>
    <row r="45" spans="3:55" x14ac:dyDescent="0.25">
      <c r="AH45" s="1" t="s">
        <v>314</v>
      </c>
      <c r="AI45" s="1">
        <v>41</v>
      </c>
      <c r="AM45" s="21">
        <v>0.41</v>
      </c>
      <c r="AN45" s="24">
        <f t="shared" si="0"/>
        <v>0.4100000000000002</v>
      </c>
      <c r="AP45" s="21">
        <v>0.41</v>
      </c>
      <c r="AQ45" s="24">
        <f t="shared" si="1"/>
        <v>0.4100000000000002</v>
      </c>
      <c r="AS45" s="21">
        <v>0.41</v>
      </c>
      <c r="AT45" s="24">
        <f t="shared" si="2"/>
        <v>0.4100000000000002</v>
      </c>
      <c r="AV45" s="21">
        <v>0.41</v>
      </c>
      <c r="AW45" s="24">
        <f t="shared" si="3"/>
        <v>0.4100000000000002</v>
      </c>
      <c r="AY45" s="21">
        <v>0.41</v>
      </c>
      <c r="AZ45" s="24">
        <f t="shared" si="4"/>
        <v>0.4100000000000002</v>
      </c>
      <c r="BB45" s="21">
        <v>0.41</v>
      </c>
      <c r="BC45" s="24">
        <f t="shared" si="5"/>
        <v>0.4100000000000002</v>
      </c>
    </row>
    <row r="46" spans="3:55" x14ac:dyDescent="0.25">
      <c r="C46" s="20" t="s">
        <v>356</v>
      </c>
      <c r="D46" s="26">
        <f>1-$AQ$107</f>
        <v>0.49999999999999978</v>
      </c>
      <c r="F46" s="14" t="s">
        <v>370</v>
      </c>
      <c r="AH46" s="1" t="s">
        <v>315</v>
      </c>
      <c r="AI46" s="1">
        <v>42</v>
      </c>
      <c r="AM46" s="21">
        <v>0.42</v>
      </c>
      <c r="AN46" s="24">
        <f t="shared" si="0"/>
        <v>0.42000000000000021</v>
      </c>
      <c r="AP46" s="21">
        <v>0.42</v>
      </c>
      <c r="AQ46" s="24">
        <f t="shared" si="1"/>
        <v>0.42000000000000021</v>
      </c>
      <c r="AS46" s="21">
        <v>0.42</v>
      </c>
      <c r="AT46" s="24">
        <f t="shared" si="2"/>
        <v>0.42000000000000021</v>
      </c>
      <c r="AV46" s="21">
        <v>0.42</v>
      </c>
      <c r="AW46" s="24">
        <f t="shared" si="3"/>
        <v>0.42000000000000021</v>
      </c>
      <c r="AY46" s="21">
        <v>0.42</v>
      </c>
      <c r="AZ46" s="24">
        <f t="shared" si="4"/>
        <v>0.42000000000000021</v>
      </c>
      <c r="BB46" s="21">
        <v>0.42</v>
      </c>
      <c r="BC46" s="24">
        <f t="shared" si="5"/>
        <v>0.42000000000000021</v>
      </c>
    </row>
    <row r="47" spans="3:55" x14ac:dyDescent="0.25">
      <c r="AH47" s="1" t="s">
        <v>316</v>
      </c>
      <c r="AI47" s="1">
        <v>43</v>
      </c>
      <c r="AM47" s="21">
        <v>0.43</v>
      </c>
      <c r="AN47" s="24">
        <f t="shared" si="0"/>
        <v>0.43000000000000022</v>
      </c>
      <c r="AP47" s="21">
        <v>0.43</v>
      </c>
      <c r="AQ47" s="24">
        <f t="shared" si="1"/>
        <v>0.43000000000000022</v>
      </c>
      <c r="AS47" s="21">
        <v>0.43</v>
      </c>
      <c r="AT47" s="24">
        <f t="shared" si="2"/>
        <v>0.43000000000000022</v>
      </c>
      <c r="AV47" s="21">
        <v>0.43</v>
      </c>
      <c r="AW47" s="24">
        <f t="shared" si="3"/>
        <v>0.43000000000000022</v>
      </c>
      <c r="AY47" s="21">
        <v>0.43</v>
      </c>
      <c r="AZ47" s="24">
        <f t="shared" si="4"/>
        <v>0.43000000000000022</v>
      </c>
      <c r="BB47" s="21">
        <v>0.43</v>
      </c>
      <c r="BC47" s="24">
        <f t="shared" si="5"/>
        <v>0.43000000000000022</v>
      </c>
    </row>
    <row r="48" spans="3:55" x14ac:dyDescent="0.25">
      <c r="C48" s="20" t="s">
        <v>375</v>
      </c>
      <c r="D48" s="25">
        <f>+$D$37*$AQ$107</f>
        <v>8640.0000000000036</v>
      </c>
      <c r="F48" s="14" t="s">
        <v>370</v>
      </c>
      <c r="AH48" s="1" t="s">
        <v>317</v>
      </c>
      <c r="AI48" s="1">
        <v>44</v>
      </c>
      <c r="AM48" s="21">
        <v>0.44</v>
      </c>
      <c r="AN48" s="24">
        <f t="shared" si="0"/>
        <v>0.44000000000000022</v>
      </c>
      <c r="AP48" s="21">
        <v>0.44</v>
      </c>
      <c r="AQ48" s="24">
        <f t="shared" si="1"/>
        <v>0.44000000000000022</v>
      </c>
      <c r="AS48" s="21">
        <v>0.44</v>
      </c>
      <c r="AT48" s="24">
        <f t="shared" si="2"/>
        <v>0.44000000000000022</v>
      </c>
      <c r="AV48" s="21">
        <v>0.44</v>
      </c>
      <c r="AW48" s="24">
        <f t="shared" si="3"/>
        <v>0.44000000000000022</v>
      </c>
      <c r="AY48" s="21">
        <v>0.44</v>
      </c>
      <c r="AZ48" s="24">
        <f t="shared" si="4"/>
        <v>0.44000000000000022</v>
      </c>
      <c r="BB48" s="21">
        <v>0.44</v>
      </c>
      <c r="BC48" s="24">
        <f t="shared" si="5"/>
        <v>0.44000000000000022</v>
      </c>
    </row>
    <row r="49" spans="3:55" x14ac:dyDescent="0.25">
      <c r="AH49" s="1" t="s">
        <v>318</v>
      </c>
      <c r="AI49" s="1">
        <v>45</v>
      </c>
      <c r="AM49" s="21">
        <v>0.45</v>
      </c>
      <c r="AN49" s="24">
        <f t="shared" si="0"/>
        <v>0.45000000000000023</v>
      </c>
      <c r="AP49" s="21">
        <v>0.45</v>
      </c>
      <c r="AQ49" s="24">
        <f t="shared" si="1"/>
        <v>0.45000000000000023</v>
      </c>
      <c r="AS49" s="21">
        <v>0.45</v>
      </c>
      <c r="AT49" s="24">
        <f t="shared" si="2"/>
        <v>0.45000000000000023</v>
      </c>
      <c r="AV49" s="21">
        <v>0.45</v>
      </c>
      <c r="AW49" s="24">
        <f t="shared" si="3"/>
        <v>0.45000000000000023</v>
      </c>
      <c r="AY49" s="21">
        <v>0.45</v>
      </c>
      <c r="AZ49" s="24">
        <f t="shared" si="4"/>
        <v>0.45000000000000023</v>
      </c>
      <c r="BB49" s="21">
        <v>0.45</v>
      </c>
      <c r="BC49" s="24">
        <f t="shared" si="5"/>
        <v>0.45000000000000023</v>
      </c>
    </row>
    <row r="50" spans="3:55" x14ac:dyDescent="0.25">
      <c r="C50" s="20" t="s">
        <v>376</v>
      </c>
      <c r="D50" s="25">
        <f>+$D$39*$AQ$107</f>
        <v>5472.0000000000027</v>
      </c>
      <c r="F50" s="14" t="s">
        <v>370</v>
      </c>
      <c r="AH50" s="1" t="s">
        <v>319</v>
      </c>
      <c r="AI50" s="1">
        <v>46</v>
      </c>
      <c r="AM50" s="21">
        <v>0.46</v>
      </c>
      <c r="AN50" s="24">
        <f t="shared" si="0"/>
        <v>0.46000000000000024</v>
      </c>
      <c r="AP50" s="21">
        <v>0.46</v>
      </c>
      <c r="AQ50" s="24">
        <f t="shared" si="1"/>
        <v>0.46000000000000024</v>
      </c>
      <c r="AS50" s="21">
        <v>0.46</v>
      </c>
      <c r="AT50" s="24">
        <f t="shared" si="2"/>
        <v>0.46000000000000024</v>
      </c>
      <c r="AV50" s="21">
        <v>0.46</v>
      </c>
      <c r="AW50" s="24">
        <f t="shared" si="3"/>
        <v>0.46000000000000024</v>
      </c>
      <c r="AY50" s="21">
        <v>0.46</v>
      </c>
      <c r="AZ50" s="24">
        <f t="shared" si="4"/>
        <v>0.46000000000000024</v>
      </c>
      <c r="BB50" s="21">
        <v>0.46</v>
      </c>
      <c r="BC50" s="24">
        <f t="shared" si="5"/>
        <v>0.46000000000000024</v>
      </c>
    </row>
    <row r="51" spans="3:55" x14ac:dyDescent="0.25">
      <c r="AH51" s="1" t="s">
        <v>320</v>
      </c>
      <c r="AI51" s="1">
        <v>47</v>
      </c>
      <c r="AM51" s="21">
        <v>0.47</v>
      </c>
      <c r="AN51" s="24">
        <f t="shared" si="0"/>
        <v>0.47000000000000025</v>
      </c>
      <c r="AP51" s="21">
        <v>0.47</v>
      </c>
      <c r="AQ51" s="24">
        <f t="shared" si="1"/>
        <v>0.47000000000000025</v>
      </c>
      <c r="AS51" s="21">
        <v>0.47</v>
      </c>
      <c r="AT51" s="24">
        <f t="shared" si="2"/>
        <v>0.47000000000000025</v>
      </c>
      <c r="AV51" s="21">
        <v>0.47</v>
      </c>
      <c r="AW51" s="24">
        <f t="shared" si="3"/>
        <v>0.47000000000000025</v>
      </c>
      <c r="AY51" s="21">
        <v>0.47</v>
      </c>
      <c r="AZ51" s="24">
        <f t="shared" si="4"/>
        <v>0.47000000000000025</v>
      </c>
      <c r="BB51" s="21">
        <v>0.47</v>
      </c>
      <c r="BC51" s="24">
        <f t="shared" si="5"/>
        <v>0.47000000000000025</v>
      </c>
    </row>
    <row r="52" spans="3:55" x14ac:dyDescent="0.25">
      <c r="C52" s="33" t="s">
        <v>377</v>
      </c>
      <c r="D52" s="38"/>
      <c r="P52" s="1" t="b">
        <v>1</v>
      </c>
      <c r="AH52" s="1" t="s">
        <v>321</v>
      </c>
      <c r="AI52" s="1">
        <v>48</v>
      </c>
      <c r="AM52" s="21">
        <v>0.48</v>
      </c>
      <c r="AN52" s="24">
        <f t="shared" si="0"/>
        <v>0.48000000000000026</v>
      </c>
      <c r="AP52" s="21">
        <v>0.48</v>
      </c>
      <c r="AQ52" s="24">
        <f t="shared" si="1"/>
        <v>0.48000000000000026</v>
      </c>
      <c r="AS52" s="21">
        <v>0.48</v>
      </c>
      <c r="AT52" s="24">
        <f t="shared" si="2"/>
        <v>0.48000000000000026</v>
      </c>
      <c r="AV52" s="21">
        <v>0.48</v>
      </c>
      <c r="AW52" s="24">
        <f t="shared" si="3"/>
        <v>0.48000000000000026</v>
      </c>
      <c r="AY52" s="21">
        <v>0.48</v>
      </c>
      <c r="AZ52" s="24">
        <f t="shared" si="4"/>
        <v>0.48000000000000026</v>
      </c>
      <c r="BB52" s="21">
        <v>0.48</v>
      </c>
      <c r="BC52" s="24">
        <f t="shared" si="5"/>
        <v>0.48000000000000026</v>
      </c>
    </row>
    <row r="53" spans="3:55" x14ac:dyDescent="0.25">
      <c r="AH53" s="1" t="s">
        <v>322</v>
      </c>
      <c r="AI53" s="1">
        <v>49</v>
      </c>
      <c r="AM53" s="21">
        <v>0.49</v>
      </c>
      <c r="AN53" s="24">
        <f t="shared" si="0"/>
        <v>0.49000000000000027</v>
      </c>
      <c r="AP53" s="21">
        <v>0.49</v>
      </c>
      <c r="AQ53" s="24">
        <f t="shared" si="1"/>
        <v>0.49000000000000027</v>
      </c>
      <c r="AS53" s="21">
        <v>0.49</v>
      </c>
      <c r="AT53" s="24">
        <f t="shared" si="2"/>
        <v>0.49000000000000027</v>
      </c>
      <c r="AV53" s="21">
        <v>0.49</v>
      </c>
      <c r="AW53" s="24">
        <f t="shared" si="3"/>
        <v>0.49000000000000027</v>
      </c>
      <c r="AY53" s="21">
        <v>0.49</v>
      </c>
      <c r="AZ53" s="24">
        <f t="shared" si="4"/>
        <v>0.49000000000000027</v>
      </c>
      <c r="BB53" s="21">
        <v>0.49</v>
      </c>
      <c r="BC53" s="24">
        <f t="shared" si="5"/>
        <v>0.49000000000000027</v>
      </c>
    </row>
    <row r="54" spans="3:55" x14ac:dyDescent="0.25">
      <c r="C54" s="36" t="s">
        <v>375</v>
      </c>
      <c r="D54" s="37"/>
      <c r="F54" s="13" t="s">
        <v>51</v>
      </c>
      <c r="G54" s="13" t="s">
        <v>52</v>
      </c>
      <c r="AH54" s="1" t="s">
        <v>323</v>
      </c>
      <c r="AI54" s="1">
        <v>50</v>
      </c>
      <c r="AM54" s="21">
        <v>0.5</v>
      </c>
      <c r="AN54" s="24">
        <f t="shared" si="0"/>
        <v>0.50000000000000022</v>
      </c>
      <c r="AP54" s="21">
        <v>0.5</v>
      </c>
      <c r="AQ54" s="24">
        <f t="shared" si="1"/>
        <v>0.50000000000000022</v>
      </c>
      <c r="AS54" s="21">
        <v>0.5</v>
      </c>
      <c r="AT54" s="24">
        <f t="shared" si="2"/>
        <v>0.50000000000000022</v>
      </c>
      <c r="AV54" s="21">
        <v>0.5</v>
      </c>
      <c r="AW54" s="24">
        <f t="shared" si="3"/>
        <v>0.50000000000000022</v>
      </c>
      <c r="AY54" s="21">
        <v>0.5</v>
      </c>
      <c r="AZ54" s="24">
        <f t="shared" si="4"/>
        <v>0.50000000000000022</v>
      </c>
      <c r="BB54" s="21">
        <v>0.5</v>
      </c>
      <c r="BC54" s="24">
        <f t="shared" si="5"/>
        <v>0.50000000000000022</v>
      </c>
    </row>
    <row r="55" spans="3:55" x14ac:dyDescent="0.25">
      <c r="AH55" s="1" t="s">
        <v>324</v>
      </c>
      <c r="AI55" s="1">
        <v>51</v>
      </c>
      <c r="AM55" s="21">
        <v>0.51</v>
      </c>
      <c r="AN55" s="24">
        <f t="shared" si="0"/>
        <v>0.51000000000000023</v>
      </c>
      <c r="AP55" s="21">
        <v>0.51</v>
      </c>
      <c r="AQ55" s="24">
        <f t="shared" si="1"/>
        <v>0.51000000000000023</v>
      </c>
      <c r="AS55" s="21">
        <v>0.51</v>
      </c>
      <c r="AT55" s="24">
        <f t="shared" si="2"/>
        <v>0.51000000000000023</v>
      </c>
      <c r="AV55" s="21">
        <v>0.51</v>
      </c>
      <c r="AW55" s="24">
        <f t="shared" si="3"/>
        <v>0.51000000000000023</v>
      </c>
      <c r="AY55" s="21">
        <v>0.51</v>
      </c>
      <c r="AZ55" s="24">
        <f t="shared" si="4"/>
        <v>0.51000000000000023</v>
      </c>
      <c r="BB55" s="21">
        <v>0.51</v>
      </c>
      <c r="BC55" s="24">
        <f t="shared" si="5"/>
        <v>0.51000000000000023</v>
      </c>
    </row>
    <row r="56" spans="3:55" x14ac:dyDescent="0.25">
      <c r="C56" s="20" t="s">
        <v>378</v>
      </c>
      <c r="D56" s="31">
        <v>10000</v>
      </c>
      <c r="F56" s="14" t="s">
        <v>370</v>
      </c>
      <c r="AH56" s="1" t="s">
        <v>325</v>
      </c>
      <c r="AI56" s="1">
        <v>52</v>
      </c>
      <c r="AM56" s="21">
        <v>0.52</v>
      </c>
      <c r="AN56" s="24">
        <f t="shared" si="0"/>
        <v>0.52000000000000024</v>
      </c>
      <c r="AP56" s="21">
        <v>0.52</v>
      </c>
      <c r="AQ56" s="24">
        <f t="shared" si="1"/>
        <v>0.52000000000000024</v>
      </c>
      <c r="AS56" s="21">
        <v>0.52</v>
      </c>
      <c r="AT56" s="24">
        <f t="shared" si="2"/>
        <v>0.52000000000000024</v>
      </c>
      <c r="AV56" s="21">
        <v>0.52</v>
      </c>
      <c r="AW56" s="24">
        <f t="shared" si="3"/>
        <v>0.52000000000000024</v>
      </c>
      <c r="AY56" s="21">
        <v>0.52</v>
      </c>
      <c r="AZ56" s="24">
        <f t="shared" si="4"/>
        <v>0.52000000000000024</v>
      </c>
      <c r="BB56" s="21">
        <v>0.52</v>
      </c>
      <c r="BC56" s="24">
        <f t="shared" si="5"/>
        <v>0.52000000000000024</v>
      </c>
    </row>
    <row r="57" spans="3:55" x14ac:dyDescent="0.25">
      <c r="AM57" s="21">
        <v>0.53</v>
      </c>
      <c r="AN57" s="24">
        <f t="shared" si="0"/>
        <v>0.53000000000000025</v>
      </c>
      <c r="AP57" s="21">
        <v>0.53</v>
      </c>
      <c r="AQ57" s="24">
        <f t="shared" si="1"/>
        <v>0.53000000000000025</v>
      </c>
      <c r="AS57" s="21">
        <v>0.53</v>
      </c>
      <c r="AT57" s="24">
        <f t="shared" si="2"/>
        <v>0.53000000000000025</v>
      </c>
      <c r="AV57" s="21">
        <v>0.53</v>
      </c>
      <c r="AW57" s="24">
        <f t="shared" si="3"/>
        <v>0.53000000000000025</v>
      </c>
      <c r="AY57" s="21">
        <v>0.53</v>
      </c>
      <c r="AZ57" s="24">
        <f t="shared" si="4"/>
        <v>0.53000000000000025</v>
      </c>
      <c r="BB57" s="21">
        <v>0.53</v>
      </c>
      <c r="BC57" s="24">
        <f t="shared" si="5"/>
        <v>0.53000000000000025</v>
      </c>
    </row>
    <row r="58" spans="3:55" x14ac:dyDescent="0.25">
      <c r="C58" s="20" t="s">
        <v>378</v>
      </c>
      <c r="F58" s="14" t="s">
        <v>370</v>
      </c>
      <c r="AG58" s="1" t="s">
        <v>17</v>
      </c>
      <c r="AH58" s="1" t="s">
        <v>269</v>
      </c>
      <c r="AM58" s="21">
        <v>0.54</v>
      </c>
      <c r="AN58" s="24">
        <f t="shared" si="0"/>
        <v>0.54000000000000026</v>
      </c>
      <c r="AP58" s="21">
        <v>0.54</v>
      </c>
      <c r="AQ58" s="24">
        <f t="shared" si="1"/>
        <v>0.54000000000000026</v>
      </c>
      <c r="AS58" s="21">
        <v>0.54</v>
      </c>
      <c r="AT58" s="24">
        <f t="shared" si="2"/>
        <v>0.54000000000000026</v>
      </c>
      <c r="AV58" s="21">
        <v>0.54</v>
      </c>
      <c r="AW58" s="24">
        <f t="shared" si="3"/>
        <v>0.54000000000000026</v>
      </c>
      <c r="AY58" s="21">
        <v>0.54</v>
      </c>
      <c r="AZ58" s="24">
        <f t="shared" si="4"/>
        <v>0.54000000000000026</v>
      </c>
      <c r="BB58" s="21">
        <v>0.54</v>
      </c>
      <c r="BC58" s="24">
        <f t="shared" si="5"/>
        <v>0.54000000000000026</v>
      </c>
    </row>
    <row r="59" spans="3:55" x14ac:dyDescent="0.25">
      <c r="AG59" s="1">
        <v>49</v>
      </c>
      <c r="AH59" s="12">
        <f>CHOOSE(AG59,AI4,AI5,AI6,AI7,AI8,AI9,AI10,AI11,AI12,AI13,AI14,AI15,AI16,AI17,AI18,AI19,AI20,AI21,AI22,AI23,AI24,AI25,AI26,AI27,AI28,AI29,AI30,AI31,AI32,AI33,AI34,AI35,AI36,AI37,AI38,AI39,AI40,AI41,AI42,AI43,AI44,AI45,AI46,AI47,AI48,AI49,AI50,AI51,AI52,AI53,AI54,AI55,AI56)</f>
        <v>48</v>
      </c>
      <c r="AM59" s="21">
        <v>0.55000000000000004</v>
      </c>
      <c r="AN59" s="24">
        <f t="shared" si="0"/>
        <v>0.55000000000000027</v>
      </c>
      <c r="AP59" s="21">
        <v>0.55000000000000004</v>
      </c>
      <c r="AQ59" s="24">
        <f t="shared" si="1"/>
        <v>0.55000000000000027</v>
      </c>
      <c r="AS59" s="21">
        <v>0.55000000000000004</v>
      </c>
      <c r="AT59" s="24">
        <f t="shared" si="2"/>
        <v>0.55000000000000027</v>
      </c>
      <c r="AV59" s="21">
        <v>0.55000000000000004</v>
      </c>
      <c r="AW59" s="24">
        <f t="shared" si="3"/>
        <v>0.55000000000000027</v>
      </c>
      <c r="AY59" s="21">
        <v>0.55000000000000004</v>
      </c>
      <c r="AZ59" s="24">
        <f t="shared" si="4"/>
        <v>0.55000000000000027</v>
      </c>
      <c r="BB59" s="21">
        <v>0.55000000000000004</v>
      </c>
      <c r="BC59" s="24">
        <f t="shared" si="5"/>
        <v>0.55000000000000027</v>
      </c>
    </row>
    <row r="60" spans="3:55" x14ac:dyDescent="0.25">
      <c r="C60" s="34" t="s">
        <v>379</v>
      </c>
      <c r="D60" s="35">
        <f>+$D$56*$AT$107</f>
        <v>5000.0000000000018</v>
      </c>
      <c r="F60" s="14" t="s">
        <v>370</v>
      </c>
      <c r="AM60" s="21">
        <v>0.56000000000000005</v>
      </c>
      <c r="AN60" s="24">
        <f t="shared" si="0"/>
        <v>0.56000000000000028</v>
      </c>
      <c r="AP60" s="21">
        <v>0.56000000000000005</v>
      </c>
      <c r="AQ60" s="24">
        <f t="shared" si="1"/>
        <v>0.56000000000000028</v>
      </c>
      <c r="AS60" s="21">
        <v>0.56000000000000005</v>
      </c>
      <c r="AT60" s="24">
        <f t="shared" si="2"/>
        <v>0.56000000000000028</v>
      </c>
      <c r="AV60" s="21">
        <v>0.56000000000000005</v>
      </c>
      <c r="AW60" s="24">
        <f t="shared" si="3"/>
        <v>0.56000000000000028</v>
      </c>
      <c r="AY60" s="21">
        <v>0.56000000000000005</v>
      </c>
      <c r="AZ60" s="24">
        <f t="shared" si="4"/>
        <v>0.56000000000000028</v>
      </c>
      <c r="BB60" s="21">
        <v>0.56000000000000005</v>
      </c>
      <c r="BC60" s="24">
        <f t="shared" si="5"/>
        <v>0.56000000000000028</v>
      </c>
    </row>
    <row r="61" spans="3:55" x14ac:dyDescent="0.25">
      <c r="AM61" s="21">
        <v>0.56999999999999995</v>
      </c>
      <c r="AN61" s="24">
        <f t="shared" si="0"/>
        <v>0.57000000000000028</v>
      </c>
      <c r="AP61" s="21">
        <v>0.56999999999999995</v>
      </c>
      <c r="AQ61" s="24">
        <f t="shared" si="1"/>
        <v>0.57000000000000028</v>
      </c>
      <c r="AS61" s="21">
        <v>0.56999999999999995</v>
      </c>
      <c r="AT61" s="24">
        <f t="shared" si="2"/>
        <v>0.57000000000000028</v>
      </c>
      <c r="AV61" s="21">
        <v>0.56999999999999995</v>
      </c>
      <c r="AW61" s="24">
        <f t="shared" si="3"/>
        <v>0.57000000000000028</v>
      </c>
      <c r="AY61" s="21">
        <v>0.56999999999999995</v>
      </c>
      <c r="AZ61" s="24">
        <f t="shared" si="4"/>
        <v>0.57000000000000028</v>
      </c>
      <c r="BB61" s="21">
        <v>0.56999999999999995</v>
      </c>
      <c r="BC61" s="24">
        <f t="shared" si="5"/>
        <v>0.57000000000000028</v>
      </c>
    </row>
    <row r="62" spans="3:55" x14ac:dyDescent="0.25">
      <c r="C62" s="20" t="s">
        <v>381</v>
      </c>
      <c r="D62" s="31">
        <f>+D37-10000</f>
        <v>7280</v>
      </c>
      <c r="F62" s="14" t="s">
        <v>370</v>
      </c>
      <c r="AM62" s="21">
        <v>0.57999999999999996</v>
      </c>
      <c r="AN62" s="24">
        <f t="shared" si="0"/>
        <v>0.58000000000000029</v>
      </c>
      <c r="AP62" s="21">
        <v>0.57999999999999996</v>
      </c>
      <c r="AQ62" s="24">
        <f t="shared" si="1"/>
        <v>0.58000000000000029</v>
      </c>
      <c r="AS62" s="21">
        <v>0.57999999999999996</v>
      </c>
      <c r="AT62" s="24">
        <f t="shared" si="2"/>
        <v>0.58000000000000029</v>
      </c>
      <c r="AV62" s="21">
        <v>0.57999999999999996</v>
      </c>
      <c r="AW62" s="24">
        <f t="shared" si="3"/>
        <v>0.58000000000000029</v>
      </c>
      <c r="AY62" s="21">
        <v>0.57999999999999996</v>
      </c>
      <c r="AZ62" s="24">
        <f t="shared" si="4"/>
        <v>0.58000000000000029</v>
      </c>
      <c r="BB62" s="21">
        <v>0.57999999999999996</v>
      </c>
      <c r="BC62" s="24">
        <f t="shared" si="5"/>
        <v>0.58000000000000029</v>
      </c>
    </row>
    <row r="63" spans="3:55" x14ac:dyDescent="0.25">
      <c r="AM63" s="21">
        <v>0.59</v>
      </c>
      <c r="AN63" s="24">
        <f t="shared" si="0"/>
        <v>0.5900000000000003</v>
      </c>
      <c r="AP63" s="21">
        <v>0.59</v>
      </c>
      <c r="AQ63" s="24">
        <f t="shared" si="1"/>
        <v>0.5900000000000003</v>
      </c>
      <c r="AS63" s="21">
        <v>0.59</v>
      </c>
      <c r="AT63" s="24">
        <f t="shared" si="2"/>
        <v>0.5900000000000003</v>
      </c>
      <c r="AV63" s="21">
        <v>0.59</v>
      </c>
      <c r="AW63" s="24">
        <f t="shared" si="3"/>
        <v>0.5900000000000003</v>
      </c>
      <c r="AY63" s="21">
        <v>0.59</v>
      </c>
      <c r="AZ63" s="24">
        <f t="shared" si="4"/>
        <v>0.5900000000000003</v>
      </c>
      <c r="BB63" s="21">
        <v>0.59</v>
      </c>
      <c r="BC63" s="24">
        <f t="shared" si="5"/>
        <v>0.5900000000000003</v>
      </c>
    </row>
    <row r="64" spans="3:55" x14ac:dyDescent="0.25">
      <c r="C64" s="20" t="s">
        <v>381</v>
      </c>
      <c r="F64" s="14" t="s">
        <v>370</v>
      </c>
      <c r="AM64" s="21">
        <v>0.6</v>
      </c>
      <c r="AN64" s="24">
        <f t="shared" si="0"/>
        <v>0.60000000000000031</v>
      </c>
      <c r="AP64" s="21">
        <v>0.6</v>
      </c>
      <c r="AQ64" s="24">
        <f t="shared" si="1"/>
        <v>0.60000000000000031</v>
      </c>
      <c r="AS64" s="21">
        <v>0.6</v>
      </c>
      <c r="AT64" s="24">
        <f t="shared" si="2"/>
        <v>0.60000000000000031</v>
      </c>
      <c r="AV64" s="21">
        <v>0.6</v>
      </c>
      <c r="AW64" s="24">
        <f t="shared" si="3"/>
        <v>0.60000000000000031</v>
      </c>
      <c r="AY64" s="21">
        <v>0.6</v>
      </c>
      <c r="AZ64" s="24">
        <f t="shared" si="4"/>
        <v>0.60000000000000031</v>
      </c>
      <c r="BB64" s="21">
        <v>0.6</v>
      </c>
      <c r="BC64" s="24">
        <f t="shared" si="5"/>
        <v>0.60000000000000031</v>
      </c>
    </row>
    <row r="65" spans="3:55" x14ac:dyDescent="0.25">
      <c r="AM65" s="21">
        <v>0.61</v>
      </c>
      <c r="AN65" s="24">
        <f t="shared" si="0"/>
        <v>0.61000000000000032</v>
      </c>
      <c r="AP65" s="21">
        <v>0.61</v>
      </c>
      <c r="AQ65" s="24">
        <f t="shared" si="1"/>
        <v>0.61000000000000032</v>
      </c>
      <c r="AS65" s="21">
        <v>0.61</v>
      </c>
      <c r="AT65" s="24">
        <f t="shared" si="2"/>
        <v>0.61000000000000032</v>
      </c>
      <c r="AV65" s="21">
        <v>0.61</v>
      </c>
      <c r="AW65" s="24">
        <f t="shared" si="3"/>
        <v>0.61000000000000032</v>
      </c>
      <c r="AY65" s="21">
        <v>0.61</v>
      </c>
      <c r="AZ65" s="24">
        <f t="shared" si="4"/>
        <v>0.61000000000000032</v>
      </c>
      <c r="BB65" s="21">
        <v>0.61</v>
      </c>
      <c r="BC65" s="24">
        <f t="shared" si="5"/>
        <v>0.61000000000000032</v>
      </c>
    </row>
    <row r="66" spans="3:55" x14ac:dyDescent="0.25">
      <c r="C66" s="34" t="s">
        <v>380</v>
      </c>
      <c r="D66" s="35">
        <f>+$D$62*$AW$107</f>
        <v>2912.0000000000014</v>
      </c>
      <c r="F66" s="14" t="s">
        <v>370</v>
      </c>
      <c r="AM66" s="21">
        <v>0.62</v>
      </c>
      <c r="AN66" s="24">
        <f t="shared" si="0"/>
        <v>0.62000000000000033</v>
      </c>
      <c r="AP66" s="21">
        <v>0.62</v>
      </c>
      <c r="AQ66" s="24">
        <f t="shared" si="1"/>
        <v>0.62000000000000033</v>
      </c>
      <c r="AS66" s="21">
        <v>0.62</v>
      </c>
      <c r="AT66" s="24">
        <f t="shared" si="2"/>
        <v>0.62000000000000033</v>
      </c>
      <c r="AV66" s="21">
        <v>0.62</v>
      </c>
      <c r="AW66" s="24">
        <f t="shared" si="3"/>
        <v>0.62000000000000033</v>
      </c>
      <c r="AY66" s="21">
        <v>0.62</v>
      </c>
      <c r="AZ66" s="24">
        <f t="shared" si="4"/>
        <v>0.62000000000000033</v>
      </c>
      <c r="BB66" s="21">
        <v>0.62</v>
      </c>
      <c r="BC66" s="24">
        <f t="shared" si="5"/>
        <v>0.62000000000000033</v>
      </c>
    </row>
    <row r="67" spans="3:55" x14ac:dyDescent="0.25">
      <c r="AM67" s="21">
        <v>0.63</v>
      </c>
      <c r="AN67" s="24">
        <f t="shared" si="0"/>
        <v>0.63000000000000034</v>
      </c>
      <c r="AP67" s="21">
        <v>0.63</v>
      </c>
      <c r="AQ67" s="24">
        <f t="shared" si="1"/>
        <v>0.63000000000000034</v>
      </c>
      <c r="AS67" s="21">
        <v>0.63</v>
      </c>
      <c r="AT67" s="24">
        <f t="shared" si="2"/>
        <v>0.63000000000000034</v>
      </c>
      <c r="AV67" s="21">
        <v>0.63</v>
      </c>
      <c r="AW67" s="24">
        <f t="shared" si="3"/>
        <v>0.63000000000000034</v>
      </c>
      <c r="AY67" s="21">
        <v>0.63</v>
      </c>
      <c r="AZ67" s="24">
        <f t="shared" si="4"/>
        <v>0.63000000000000034</v>
      </c>
      <c r="BB67" s="21">
        <v>0.63</v>
      </c>
      <c r="BC67" s="24">
        <f t="shared" si="5"/>
        <v>0.63000000000000034</v>
      </c>
    </row>
    <row r="68" spans="3:55" x14ac:dyDescent="0.25">
      <c r="C68" s="20" t="s">
        <v>383</v>
      </c>
      <c r="D68" s="31"/>
      <c r="F68" s="14" t="s">
        <v>370</v>
      </c>
      <c r="AM68" s="21">
        <v>0.64</v>
      </c>
      <c r="AN68" s="24">
        <f t="shared" si="0"/>
        <v>0.64000000000000035</v>
      </c>
      <c r="AP68" s="21">
        <v>0.64</v>
      </c>
      <c r="AQ68" s="24">
        <f t="shared" si="1"/>
        <v>0.64000000000000035</v>
      </c>
      <c r="AS68" s="21">
        <v>0.64</v>
      </c>
      <c r="AT68" s="24">
        <f t="shared" si="2"/>
        <v>0.64000000000000035</v>
      </c>
      <c r="AV68" s="21">
        <v>0.64</v>
      </c>
      <c r="AW68" s="24">
        <f t="shared" si="3"/>
        <v>0.64000000000000035</v>
      </c>
      <c r="AY68" s="21">
        <v>0.64</v>
      </c>
      <c r="AZ68" s="24">
        <f t="shared" si="4"/>
        <v>0.64000000000000035</v>
      </c>
      <c r="BB68" s="21">
        <v>0.64</v>
      </c>
      <c r="BC68" s="24">
        <f t="shared" si="5"/>
        <v>0.64000000000000035</v>
      </c>
    </row>
    <row r="69" spans="3:55" x14ac:dyDescent="0.25">
      <c r="AM69" s="21">
        <v>0.65</v>
      </c>
      <c r="AN69" s="24">
        <f t="shared" si="0"/>
        <v>0.65000000000000036</v>
      </c>
      <c r="AP69" s="21">
        <v>0.65</v>
      </c>
      <c r="AQ69" s="24">
        <f t="shared" si="1"/>
        <v>0.65000000000000036</v>
      </c>
      <c r="AS69" s="21">
        <v>0.65</v>
      </c>
      <c r="AT69" s="24">
        <f t="shared" si="2"/>
        <v>0.65000000000000036</v>
      </c>
      <c r="AV69" s="21">
        <v>0.65</v>
      </c>
      <c r="AW69" s="24">
        <f t="shared" si="3"/>
        <v>0.65000000000000036</v>
      </c>
      <c r="AY69" s="21">
        <v>0.65</v>
      </c>
      <c r="AZ69" s="24">
        <f t="shared" si="4"/>
        <v>0.65000000000000036</v>
      </c>
      <c r="BB69" s="21">
        <v>0.65</v>
      </c>
      <c r="BC69" s="24">
        <f t="shared" si="5"/>
        <v>0.65000000000000036</v>
      </c>
    </row>
    <row r="70" spans="3:55" x14ac:dyDescent="0.25">
      <c r="C70" s="20" t="s">
        <v>383</v>
      </c>
      <c r="F70" s="14" t="s">
        <v>370</v>
      </c>
      <c r="AM70" s="21">
        <v>0.66</v>
      </c>
      <c r="AN70" s="24">
        <f t="shared" si="0"/>
        <v>0.66000000000000036</v>
      </c>
      <c r="AP70" s="21">
        <v>0.66</v>
      </c>
      <c r="AQ70" s="24">
        <f t="shared" si="1"/>
        <v>0.66000000000000036</v>
      </c>
      <c r="AS70" s="21">
        <v>0.66</v>
      </c>
      <c r="AT70" s="24">
        <f t="shared" si="2"/>
        <v>0.66000000000000036</v>
      </c>
      <c r="AV70" s="21">
        <v>0.66</v>
      </c>
      <c r="AW70" s="24">
        <f t="shared" si="3"/>
        <v>0.66000000000000036</v>
      </c>
      <c r="AY70" s="21">
        <v>0.66</v>
      </c>
      <c r="AZ70" s="24">
        <f t="shared" si="4"/>
        <v>0.66000000000000036</v>
      </c>
      <c r="BB70" s="21">
        <v>0.66</v>
      </c>
      <c r="BC70" s="24">
        <f t="shared" si="5"/>
        <v>0.66000000000000036</v>
      </c>
    </row>
    <row r="71" spans="3:55" x14ac:dyDescent="0.25">
      <c r="AM71" s="21">
        <v>0.67</v>
      </c>
      <c r="AN71" s="24">
        <f t="shared" si="0"/>
        <v>0.67000000000000037</v>
      </c>
      <c r="AP71" s="21">
        <v>0.67</v>
      </c>
      <c r="AQ71" s="24">
        <f t="shared" si="1"/>
        <v>0.67000000000000037</v>
      </c>
      <c r="AS71" s="21">
        <v>0.67</v>
      </c>
      <c r="AT71" s="24">
        <f t="shared" si="2"/>
        <v>0.67000000000000037</v>
      </c>
      <c r="AV71" s="21">
        <v>0.67</v>
      </c>
      <c r="AW71" s="24">
        <f t="shared" si="3"/>
        <v>0.67000000000000037</v>
      </c>
      <c r="AY71" s="21">
        <v>0.67</v>
      </c>
      <c r="AZ71" s="24">
        <f t="shared" si="4"/>
        <v>0.67000000000000037</v>
      </c>
      <c r="BB71" s="21">
        <v>0.67</v>
      </c>
      <c r="BC71" s="24">
        <f t="shared" si="5"/>
        <v>0.67000000000000037</v>
      </c>
    </row>
    <row r="72" spans="3:55" x14ac:dyDescent="0.25">
      <c r="C72" s="34" t="s">
        <v>382</v>
      </c>
      <c r="D72" s="35">
        <f>+$D$68*$AZ$107</f>
        <v>0</v>
      </c>
      <c r="F72" s="14" t="s">
        <v>370</v>
      </c>
      <c r="AM72" s="21">
        <v>0.68</v>
      </c>
      <c r="AN72" s="24">
        <f t="shared" ref="AN72:AN104" si="6">+AN71+0.01</f>
        <v>0.68000000000000038</v>
      </c>
      <c r="AP72" s="21">
        <v>0.68</v>
      </c>
      <c r="AQ72" s="24">
        <f t="shared" ref="AQ72:AQ104" si="7">+AQ71+0.01</f>
        <v>0.68000000000000038</v>
      </c>
      <c r="AS72" s="21">
        <v>0.68</v>
      </c>
      <c r="AT72" s="24">
        <f t="shared" ref="AT72:AT104" si="8">+AT71+0.01</f>
        <v>0.68000000000000038</v>
      </c>
      <c r="AV72" s="21">
        <v>0.68</v>
      </c>
      <c r="AW72" s="24">
        <f t="shared" ref="AW72:AW104" si="9">+AW71+0.01</f>
        <v>0.68000000000000038</v>
      </c>
      <c r="AY72" s="21">
        <v>0.68</v>
      </c>
      <c r="AZ72" s="24">
        <f t="shared" ref="AZ72:AZ104" si="10">+AZ71+0.01</f>
        <v>0.68000000000000038</v>
      </c>
      <c r="BB72" s="21">
        <v>0.68</v>
      </c>
      <c r="BC72" s="24">
        <f t="shared" ref="BC72:BC104" si="11">+BC71+0.01</f>
        <v>0.68000000000000038</v>
      </c>
    </row>
    <row r="73" spans="3:55" x14ac:dyDescent="0.25">
      <c r="AM73" s="21">
        <v>0.69</v>
      </c>
      <c r="AN73" s="24">
        <f t="shared" si="6"/>
        <v>0.69000000000000039</v>
      </c>
      <c r="AP73" s="21">
        <v>0.69</v>
      </c>
      <c r="AQ73" s="24">
        <f t="shared" si="7"/>
        <v>0.69000000000000039</v>
      </c>
      <c r="AS73" s="21">
        <v>0.69</v>
      </c>
      <c r="AT73" s="24">
        <f t="shared" si="8"/>
        <v>0.69000000000000039</v>
      </c>
      <c r="AV73" s="21">
        <v>0.69</v>
      </c>
      <c r="AW73" s="24">
        <f t="shared" si="9"/>
        <v>0.69000000000000039</v>
      </c>
      <c r="AY73" s="21">
        <v>0.69</v>
      </c>
      <c r="AZ73" s="24">
        <f t="shared" si="10"/>
        <v>0.69000000000000039</v>
      </c>
      <c r="BB73" s="21">
        <v>0.69</v>
      </c>
      <c r="BC73" s="24">
        <f t="shared" si="11"/>
        <v>0.69000000000000039</v>
      </c>
    </row>
    <row r="74" spans="3:55" x14ac:dyDescent="0.25">
      <c r="C74" s="36" t="s">
        <v>376</v>
      </c>
      <c r="D74" s="37"/>
      <c r="F74" s="13" t="s">
        <v>51</v>
      </c>
      <c r="G74" s="13" t="s">
        <v>52</v>
      </c>
      <c r="AM74" s="21">
        <v>0.7</v>
      </c>
      <c r="AN74" s="24">
        <f t="shared" si="6"/>
        <v>0.7000000000000004</v>
      </c>
      <c r="AP74" s="21">
        <v>0.7</v>
      </c>
      <c r="AQ74" s="24">
        <f t="shared" si="7"/>
        <v>0.7000000000000004</v>
      </c>
      <c r="AS74" s="21">
        <v>0.7</v>
      </c>
      <c r="AT74" s="24">
        <f t="shared" si="8"/>
        <v>0.7000000000000004</v>
      </c>
      <c r="AV74" s="21">
        <v>0.7</v>
      </c>
      <c r="AW74" s="24">
        <f t="shared" si="9"/>
        <v>0.7000000000000004</v>
      </c>
      <c r="AY74" s="21">
        <v>0.7</v>
      </c>
      <c r="AZ74" s="24">
        <f t="shared" si="10"/>
        <v>0.7000000000000004</v>
      </c>
      <c r="BB74" s="21">
        <v>0.7</v>
      </c>
      <c r="BC74" s="24">
        <f t="shared" si="11"/>
        <v>0.7000000000000004</v>
      </c>
    </row>
    <row r="75" spans="3:55" x14ac:dyDescent="0.25">
      <c r="AM75" s="21">
        <v>0.71</v>
      </c>
      <c r="AN75" s="24">
        <f t="shared" si="6"/>
        <v>0.71000000000000041</v>
      </c>
      <c r="AP75" s="21">
        <v>0.71</v>
      </c>
      <c r="AQ75" s="24">
        <f t="shared" si="7"/>
        <v>0.71000000000000041</v>
      </c>
      <c r="AS75" s="21">
        <v>0.71</v>
      </c>
      <c r="AT75" s="24">
        <f t="shared" si="8"/>
        <v>0.71000000000000041</v>
      </c>
      <c r="AV75" s="21">
        <v>0.71</v>
      </c>
      <c r="AW75" s="24">
        <f t="shared" si="9"/>
        <v>0.71000000000000041</v>
      </c>
      <c r="AY75" s="21">
        <v>0.71</v>
      </c>
      <c r="AZ75" s="24">
        <f t="shared" si="10"/>
        <v>0.71000000000000041</v>
      </c>
      <c r="BB75" s="21">
        <v>0.71</v>
      </c>
      <c r="BC75" s="24">
        <f t="shared" si="11"/>
        <v>0.71000000000000041</v>
      </c>
    </row>
    <row r="76" spans="3:55" x14ac:dyDescent="0.25">
      <c r="C76" s="20" t="s">
        <v>378</v>
      </c>
      <c r="D76" s="31">
        <v>10000</v>
      </c>
      <c r="F76" s="14" t="s">
        <v>370</v>
      </c>
      <c r="AM76" s="21">
        <v>0.72</v>
      </c>
      <c r="AN76" s="24">
        <f t="shared" si="6"/>
        <v>0.72000000000000042</v>
      </c>
      <c r="AP76" s="21">
        <v>0.72</v>
      </c>
      <c r="AQ76" s="24">
        <f t="shared" si="7"/>
        <v>0.72000000000000042</v>
      </c>
      <c r="AS76" s="21">
        <v>0.72</v>
      </c>
      <c r="AT76" s="24">
        <f t="shared" si="8"/>
        <v>0.72000000000000042</v>
      </c>
      <c r="AV76" s="21">
        <v>0.72</v>
      </c>
      <c r="AW76" s="24">
        <f t="shared" si="9"/>
        <v>0.72000000000000042</v>
      </c>
      <c r="AY76" s="21">
        <v>0.72</v>
      </c>
      <c r="AZ76" s="24">
        <f t="shared" si="10"/>
        <v>0.72000000000000042</v>
      </c>
      <c r="BB76" s="21">
        <v>0.72</v>
      </c>
      <c r="BC76" s="24">
        <f t="shared" si="11"/>
        <v>0.72000000000000042</v>
      </c>
    </row>
    <row r="77" spans="3:55" x14ac:dyDescent="0.25">
      <c r="AM77" s="21">
        <v>0.73</v>
      </c>
      <c r="AN77" s="24">
        <f t="shared" si="6"/>
        <v>0.73000000000000043</v>
      </c>
      <c r="AP77" s="21">
        <v>0.73</v>
      </c>
      <c r="AQ77" s="24">
        <f t="shared" si="7"/>
        <v>0.73000000000000043</v>
      </c>
      <c r="AS77" s="21">
        <v>0.73</v>
      </c>
      <c r="AT77" s="24">
        <f t="shared" si="8"/>
        <v>0.73000000000000043</v>
      </c>
      <c r="AV77" s="21">
        <v>0.73</v>
      </c>
      <c r="AW77" s="24">
        <f t="shared" si="9"/>
        <v>0.73000000000000043</v>
      </c>
      <c r="AY77" s="21">
        <v>0.73</v>
      </c>
      <c r="AZ77" s="24">
        <f t="shared" si="10"/>
        <v>0.73000000000000043</v>
      </c>
      <c r="BB77" s="21">
        <v>0.73</v>
      </c>
      <c r="BC77" s="24">
        <f t="shared" si="11"/>
        <v>0.73000000000000043</v>
      </c>
    </row>
    <row r="78" spans="3:55" x14ac:dyDescent="0.25">
      <c r="C78" s="20" t="s">
        <v>378</v>
      </c>
      <c r="F78" s="14" t="s">
        <v>370</v>
      </c>
      <c r="AM78" s="21">
        <v>0.74</v>
      </c>
      <c r="AN78" s="24">
        <f t="shared" si="6"/>
        <v>0.74000000000000044</v>
      </c>
      <c r="AP78" s="21">
        <v>0.74</v>
      </c>
      <c r="AQ78" s="24">
        <f t="shared" si="7"/>
        <v>0.74000000000000044</v>
      </c>
      <c r="AS78" s="21">
        <v>0.74</v>
      </c>
      <c r="AT78" s="24">
        <f t="shared" si="8"/>
        <v>0.74000000000000044</v>
      </c>
      <c r="AV78" s="21">
        <v>0.74</v>
      </c>
      <c r="AW78" s="24">
        <f t="shared" si="9"/>
        <v>0.74000000000000044</v>
      </c>
      <c r="AY78" s="21">
        <v>0.74</v>
      </c>
      <c r="AZ78" s="24">
        <f t="shared" si="10"/>
        <v>0.74000000000000044</v>
      </c>
      <c r="BB78" s="21">
        <v>0.74</v>
      </c>
      <c r="BC78" s="24">
        <f t="shared" si="11"/>
        <v>0.74000000000000044</v>
      </c>
    </row>
    <row r="79" spans="3:55" x14ac:dyDescent="0.25">
      <c r="AM79" s="21">
        <v>0.75</v>
      </c>
      <c r="AN79" s="24">
        <f t="shared" si="6"/>
        <v>0.75000000000000044</v>
      </c>
      <c r="AP79" s="21">
        <v>0.75</v>
      </c>
      <c r="AQ79" s="24">
        <f t="shared" si="7"/>
        <v>0.75000000000000044</v>
      </c>
      <c r="AS79" s="21">
        <v>0.75</v>
      </c>
      <c r="AT79" s="24">
        <f t="shared" si="8"/>
        <v>0.75000000000000044</v>
      </c>
      <c r="AV79" s="21">
        <v>0.75</v>
      </c>
      <c r="AW79" s="24">
        <f t="shared" si="9"/>
        <v>0.75000000000000044</v>
      </c>
      <c r="AY79" s="21">
        <v>0.75</v>
      </c>
      <c r="AZ79" s="24">
        <f t="shared" si="10"/>
        <v>0.75000000000000044</v>
      </c>
      <c r="BB79" s="21">
        <v>0.75</v>
      </c>
      <c r="BC79" s="24">
        <f t="shared" si="11"/>
        <v>0.75000000000000044</v>
      </c>
    </row>
    <row r="80" spans="3:55" x14ac:dyDescent="0.25">
      <c r="C80" s="34" t="s">
        <v>379</v>
      </c>
      <c r="D80" s="35">
        <f>+$D$76*$AT$107</f>
        <v>5000.0000000000018</v>
      </c>
      <c r="F80" s="14" t="s">
        <v>370</v>
      </c>
      <c r="AM80" s="21">
        <v>0.76</v>
      </c>
      <c r="AN80" s="24">
        <f t="shared" si="6"/>
        <v>0.76000000000000045</v>
      </c>
      <c r="AP80" s="21">
        <v>0.76</v>
      </c>
      <c r="AQ80" s="24">
        <f t="shared" si="7"/>
        <v>0.76000000000000045</v>
      </c>
      <c r="AS80" s="21">
        <v>0.76</v>
      </c>
      <c r="AT80" s="24">
        <f t="shared" si="8"/>
        <v>0.76000000000000045</v>
      </c>
      <c r="AV80" s="21">
        <v>0.76</v>
      </c>
      <c r="AW80" s="24">
        <f t="shared" si="9"/>
        <v>0.76000000000000045</v>
      </c>
      <c r="AY80" s="21">
        <v>0.76</v>
      </c>
      <c r="AZ80" s="24">
        <f t="shared" si="10"/>
        <v>0.76000000000000045</v>
      </c>
      <c r="BB80" s="21">
        <v>0.76</v>
      </c>
      <c r="BC80" s="24">
        <f t="shared" si="11"/>
        <v>0.76000000000000045</v>
      </c>
    </row>
    <row r="81" spans="3:55" x14ac:dyDescent="0.25">
      <c r="AM81" s="21">
        <v>0.77</v>
      </c>
      <c r="AN81" s="24">
        <f t="shared" si="6"/>
        <v>0.77000000000000046</v>
      </c>
      <c r="AP81" s="21">
        <v>0.77</v>
      </c>
      <c r="AQ81" s="24">
        <f t="shared" si="7"/>
        <v>0.77000000000000046</v>
      </c>
      <c r="AS81" s="21">
        <v>0.77</v>
      </c>
      <c r="AT81" s="24">
        <f t="shared" si="8"/>
        <v>0.77000000000000046</v>
      </c>
      <c r="AV81" s="21">
        <v>0.77</v>
      </c>
      <c r="AW81" s="24">
        <f t="shared" si="9"/>
        <v>0.77000000000000046</v>
      </c>
      <c r="AY81" s="21">
        <v>0.77</v>
      </c>
      <c r="AZ81" s="24">
        <f t="shared" si="10"/>
        <v>0.77000000000000046</v>
      </c>
      <c r="BB81" s="21">
        <v>0.77</v>
      </c>
      <c r="BC81" s="24">
        <f t="shared" si="11"/>
        <v>0.77000000000000046</v>
      </c>
    </row>
    <row r="82" spans="3:55" x14ac:dyDescent="0.25">
      <c r="C82" s="20" t="s">
        <v>381</v>
      </c>
      <c r="D82" s="31">
        <f>+D39-10000</f>
        <v>944</v>
      </c>
      <c r="F82" s="14" t="s">
        <v>370</v>
      </c>
      <c r="AM82" s="21">
        <v>0.78</v>
      </c>
      <c r="AN82" s="24">
        <f t="shared" si="6"/>
        <v>0.78000000000000047</v>
      </c>
      <c r="AP82" s="21">
        <v>0.78</v>
      </c>
      <c r="AQ82" s="24">
        <f t="shared" si="7"/>
        <v>0.78000000000000047</v>
      </c>
      <c r="AS82" s="21">
        <v>0.78</v>
      </c>
      <c r="AT82" s="24">
        <f t="shared" si="8"/>
        <v>0.78000000000000047</v>
      </c>
      <c r="AV82" s="21">
        <v>0.78</v>
      </c>
      <c r="AW82" s="24">
        <f t="shared" si="9"/>
        <v>0.78000000000000047</v>
      </c>
      <c r="AY82" s="21">
        <v>0.78</v>
      </c>
      <c r="AZ82" s="24">
        <f t="shared" si="10"/>
        <v>0.78000000000000047</v>
      </c>
      <c r="BB82" s="21">
        <v>0.78</v>
      </c>
      <c r="BC82" s="24">
        <f t="shared" si="11"/>
        <v>0.78000000000000047</v>
      </c>
    </row>
    <row r="83" spans="3:55" x14ac:dyDescent="0.25">
      <c r="AM83" s="21">
        <v>0.79</v>
      </c>
      <c r="AN83" s="24">
        <f t="shared" si="6"/>
        <v>0.79000000000000048</v>
      </c>
      <c r="AP83" s="21">
        <v>0.79</v>
      </c>
      <c r="AQ83" s="24">
        <f t="shared" si="7"/>
        <v>0.79000000000000048</v>
      </c>
      <c r="AS83" s="21">
        <v>0.79</v>
      </c>
      <c r="AT83" s="24">
        <f t="shared" si="8"/>
        <v>0.79000000000000048</v>
      </c>
      <c r="AV83" s="21">
        <v>0.79</v>
      </c>
      <c r="AW83" s="24">
        <f t="shared" si="9"/>
        <v>0.79000000000000048</v>
      </c>
      <c r="AY83" s="21">
        <v>0.79</v>
      </c>
      <c r="AZ83" s="24">
        <f t="shared" si="10"/>
        <v>0.79000000000000048</v>
      </c>
      <c r="BB83" s="21">
        <v>0.79</v>
      </c>
      <c r="BC83" s="24">
        <f t="shared" si="11"/>
        <v>0.79000000000000048</v>
      </c>
    </row>
    <row r="84" spans="3:55" x14ac:dyDescent="0.25">
      <c r="C84" s="20" t="s">
        <v>381</v>
      </c>
      <c r="F84" s="14" t="s">
        <v>370</v>
      </c>
      <c r="AM84" s="21">
        <v>0.8</v>
      </c>
      <c r="AN84" s="24">
        <f t="shared" si="6"/>
        <v>0.80000000000000049</v>
      </c>
      <c r="AP84" s="21">
        <v>0.8</v>
      </c>
      <c r="AQ84" s="24">
        <f t="shared" si="7"/>
        <v>0.80000000000000049</v>
      </c>
      <c r="AS84" s="21">
        <v>0.8</v>
      </c>
      <c r="AT84" s="24">
        <f t="shared" si="8"/>
        <v>0.80000000000000049</v>
      </c>
      <c r="AV84" s="21">
        <v>0.8</v>
      </c>
      <c r="AW84" s="24">
        <f t="shared" si="9"/>
        <v>0.80000000000000049</v>
      </c>
      <c r="AY84" s="21">
        <v>0.8</v>
      </c>
      <c r="AZ84" s="24">
        <f t="shared" si="10"/>
        <v>0.80000000000000049</v>
      </c>
      <c r="BB84" s="21">
        <v>0.8</v>
      </c>
      <c r="BC84" s="24">
        <f t="shared" si="11"/>
        <v>0.80000000000000049</v>
      </c>
    </row>
    <row r="85" spans="3:55" x14ac:dyDescent="0.25">
      <c r="AM85" s="21">
        <v>0.81000000000000105</v>
      </c>
      <c r="AN85" s="24">
        <f t="shared" si="6"/>
        <v>0.8100000000000005</v>
      </c>
      <c r="AP85" s="21">
        <v>0.81000000000000105</v>
      </c>
      <c r="AQ85" s="24">
        <f t="shared" si="7"/>
        <v>0.8100000000000005</v>
      </c>
      <c r="AS85" s="21">
        <v>0.81000000000000105</v>
      </c>
      <c r="AT85" s="24">
        <f t="shared" si="8"/>
        <v>0.8100000000000005</v>
      </c>
      <c r="AV85" s="21">
        <v>0.81000000000000105</v>
      </c>
      <c r="AW85" s="24">
        <f t="shared" si="9"/>
        <v>0.8100000000000005</v>
      </c>
      <c r="AY85" s="21">
        <v>0.81000000000000105</v>
      </c>
      <c r="AZ85" s="24">
        <f t="shared" si="10"/>
        <v>0.8100000000000005</v>
      </c>
      <c r="BB85" s="21">
        <v>0.81000000000000105</v>
      </c>
      <c r="BC85" s="24">
        <f t="shared" si="11"/>
        <v>0.8100000000000005</v>
      </c>
    </row>
    <row r="86" spans="3:55" x14ac:dyDescent="0.25">
      <c r="C86" s="34" t="s">
        <v>380</v>
      </c>
      <c r="D86" s="35">
        <f>+$D$82*$AW$107</f>
        <v>377.60000000000019</v>
      </c>
      <c r="F86" s="14" t="s">
        <v>370</v>
      </c>
      <c r="AM86" s="21">
        <v>0.82000000000000095</v>
      </c>
      <c r="AN86" s="24">
        <f t="shared" si="6"/>
        <v>0.82000000000000051</v>
      </c>
      <c r="AP86" s="21">
        <v>0.82000000000000095</v>
      </c>
      <c r="AQ86" s="24">
        <f t="shared" si="7"/>
        <v>0.82000000000000051</v>
      </c>
      <c r="AS86" s="21">
        <v>0.82000000000000095</v>
      </c>
      <c r="AT86" s="24">
        <f t="shared" si="8"/>
        <v>0.82000000000000051</v>
      </c>
      <c r="AV86" s="21">
        <v>0.82000000000000095</v>
      </c>
      <c r="AW86" s="24">
        <f t="shared" si="9"/>
        <v>0.82000000000000051</v>
      </c>
      <c r="AY86" s="21">
        <v>0.82000000000000095</v>
      </c>
      <c r="AZ86" s="24">
        <f t="shared" si="10"/>
        <v>0.82000000000000051</v>
      </c>
      <c r="BB86" s="21">
        <v>0.82000000000000095</v>
      </c>
      <c r="BC86" s="24">
        <f t="shared" si="11"/>
        <v>0.82000000000000051</v>
      </c>
    </row>
    <row r="87" spans="3:55" x14ac:dyDescent="0.25">
      <c r="AM87" s="21">
        <v>0.83000000000000096</v>
      </c>
      <c r="AN87" s="24">
        <f t="shared" si="6"/>
        <v>0.83000000000000052</v>
      </c>
      <c r="AP87" s="21">
        <v>0.83000000000000096</v>
      </c>
      <c r="AQ87" s="24">
        <f t="shared" si="7"/>
        <v>0.83000000000000052</v>
      </c>
      <c r="AS87" s="21">
        <v>0.83000000000000096</v>
      </c>
      <c r="AT87" s="24">
        <f t="shared" si="8"/>
        <v>0.83000000000000052</v>
      </c>
      <c r="AV87" s="21">
        <v>0.83000000000000096</v>
      </c>
      <c r="AW87" s="24">
        <f t="shared" si="9"/>
        <v>0.83000000000000052</v>
      </c>
      <c r="AY87" s="21">
        <v>0.83000000000000096</v>
      </c>
      <c r="AZ87" s="24">
        <f t="shared" si="10"/>
        <v>0.83000000000000052</v>
      </c>
      <c r="BB87" s="21">
        <v>0.83000000000000096</v>
      </c>
      <c r="BC87" s="24">
        <f t="shared" si="11"/>
        <v>0.83000000000000052</v>
      </c>
    </row>
    <row r="88" spans="3:55" x14ac:dyDescent="0.25">
      <c r="C88" s="20" t="s">
        <v>383</v>
      </c>
      <c r="D88" s="31"/>
      <c r="F88" s="14" t="s">
        <v>370</v>
      </c>
      <c r="AM88" s="21">
        <v>0.84000000000000097</v>
      </c>
      <c r="AN88" s="24">
        <f t="shared" si="6"/>
        <v>0.84000000000000052</v>
      </c>
      <c r="AP88" s="21">
        <v>0.84000000000000097</v>
      </c>
      <c r="AQ88" s="24">
        <f t="shared" si="7"/>
        <v>0.84000000000000052</v>
      </c>
      <c r="AS88" s="21">
        <v>0.84000000000000097</v>
      </c>
      <c r="AT88" s="24">
        <f t="shared" si="8"/>
        <v>0.84000000000000052</v>
      </c>
      <c r="AV88" s="21">
        <v>0.84000000000000097</v>
      </c>
      <c r="AW88" s="24">
        <f t="shared" si="9"/>
        <v>0.84000000000000052</v>
      </c>
      <c r="AY88" s="21">
        <v>0.84000000000000097</v>
      </c>
      <c r="AZ88" s="24">
        <f t="shared" si="10"/>
        <v>0.84000000000000052</v>
      </c>
      <c r="BB88" s="21">
        <v>0.84000000000000097</v>
      </c>
      <c r="BC88" s="24">
        <f t="shared" si="11"/>
        <v>0.84000000000000052</v>
      </c>
    </row>
    <row r="89" spans="3:55" x14ac:dyDescent="0.25">
      <c r="AM89" s="21">
        <v>0.85000000000000098</v>
      </c>
      <c r="AN89" s="24">
        <f t="shared" si="6"/>
        <v>0.85000000000000053</v>
      </c>
      <c r="AP89" s="21">
        <v>0.85000000000000098</v>
      </c>
      <c r="AQ89" s="24">
        <f t="shared" si="7"/>
        <v>0.85000000000000053</v>
      </c>
      <c r="AS89" s="21">
        <v>0.85000000000000098</v>
      </c>
      <c r="AT89" s="24">
        <f t="shared" si="8"/>
        <v>0.85000000000000053</v>
      </c>
      <c r="AV89" s="21">
        <v>0.85000000000000098</v>
      </c>
      <c r="AW89" s="24">
        <f t="shared" si="9"/>
        <v>0.85000000000000053</v>
      </c>
      <c r="AY89" s="21">
        <v>0.85000000000000098</v>
      </c>
      <c r="AZ89" s="24">
        <f t="shared" si="10"/>
        <v>0.85000000000000053</v>
      </c>
      <c r="BB89" s="21">
        <v>0.85000000000000098</v>
      </c>
      <c r="BC89" s="24">
        <f t="shared" si="11"/>
        <v>0.85000000000000053</v>
      </c>
    </row>
    <row r="90" spans="3:55" x14ac:dyDescent="0.25">
      <c r="C90" s="20" t="s">
        <v>383</v>
      </c>
      <c r="F90" s="14" t="s">
        <v>370</v>
      </c>
      <c r="AM90" s="21">
        <v>0.86000000000000099</v>
      </c>
      <c r="AN90" s="24">
        <f t="shared" si="6"/>
        <v>0.86000000000000054</v>
      </c>
      <c r="AP90" s="21">
        <v>0.86000000000000099</v>
      </c>
      <c r="AQ90" s="24">
        <f t="shared" si="7"/>
        <v>0.86000000000000054</v>
      </c>
      <c r="AS90" s="21">
        <v>0.86000000000000099</v>
      </c>
      <c r="AT90" s="24">
        <f t="shared" si="8"/>
        <v>0.86000000000000054</v>
      </c>
      <c r="AV90" s="21">
        <v>0.86000000000000099</v>
      </c>
      <c r="AW90" s="24">
        <f t="shared" si="9"/>
        <v>0.86000000000000054</v>
      </c>
      <c r="AY90" s="21">
        <v>0.86000000000000099</v>
      </c>
      <c r="AZ90" s="24">
        <f t="shared" si="10"/>
        <v>0.86000000000000054</v>
      </c>
      <c r="BB90" s="21">
        <v>0.86000000000000099</v>
      </c>
      <c r="BC90" s="24">
        <f t="shared" si="11"/>
        <v>0.86000000000000054</v>
      </c>
    </row>
    <row r="91" spans="3:55" x14ac:dyDescent="0.25">
      <c r="AM91" s="21">
        <v>0.87000000000000099</v>
      </c>
      <c r="AN91" s="24">
        <f t="shared" si="6"/>
        <v>0.87000000000000055</v>
      </c>
      <c r="AP91" s="21">
        <v>0.87000000000000099</v>
      </c>
      <c r="AQ91" s="24">
        <f t="shared" si="7"/>
        <v>0.87000000000000055</v>
      </c>
      <c r="AS91" s="21">
        <v>0.87000000000000099</v>
      </c>
      <c r="AT91" s="24">
        <f t="shared" si="8"/>
        <v>0.87000000000000055</v>
      </c>
      <c r="AV91" s="21">
        <v>0.87000000000000099</v>
      </c>
      <c r="AW91" s="24">
        <f t="shared" si="9"/>
        <v>0.87000000000000055</v>
      </c>
      <c r="AY91" s="21">
        <v>0.87000000000000099</v>
      </c>
      <c r="AZ91" s="24">
        <f t="shared" si="10"/>
        <v>0.87000000000000055</v>
      </c>
      <c r="BB91" s="21">
        <v>0.87000000000000099</v>
      </c>
      <c r="BC91" s="24">
        <f t="shared" si="11"/>
        <v>0.87000000000000055</v>
      </c>
    </row>
    <row r="92" spans="3:55" x14ac:dyDescent="0.25">
      <c r="C92" s="34" t="s">
        <v>382</v>
      </c>
      <c r="D92" s="35">
        <f>+$D$88*$AZ$107</f>
        <v>0</v>
      </c>
      <c r="F92" s="14" t="s">
        <v>370</v>
      </c>
      <c r="AM92" s="21">
        <v>0.880000000000001</v>
      </c>
      <c r="AN92" s="24">
        <f t="shared" si="6"/>
        <v>0.88000000000000056</v>
      </c>
      <c r="AP92" s="21">
        <v>0.880000000000001</v>
      </c>
      <c r="AQ92" s="24">
        <f t="shared" si="7"/>
        <v>0.88000000000000056</v>
      </c>
      <c r="AS92" s="21">
        <v>0.880000000000001</v>
      </c>
      <c r="AT92" s="24">
        <f t="shared" si="8"/>
        <v>0.88000000000000056</v>
      </c>
      <c r="AV92" s="21">
        <v>0.880000000000001</v>
      </c>
      <c r="AW92" s="24">
        <f t="shared" si="9"/>
        <v>0.88000000000000056</v>
      </c>
      <c r="AY92" s="21">
        <v>0.880000000000001</v>
      </c>
      <c r="AZ92" s="24">
        <f t="shared" si="10"/>
        <v>0.88000000000000056</v>
      </c>
      <c r="BB92" s="21">
        <v>0.880000000000001</v>
      </c>
      <c r="BC92" s="24">
        <f t="shared" si="11"/>
        <v>0.88000000000000056</v>
      </c>
    </row>
    <row r="93" spans="3:55" x14ac:dyDescent="0.25">
      <c r="AM93" s="21">
        <v>0.89000000000000101</v>
      </c>
      <c r="AN93" s="24">
        <f t="shared" si="6"/>
        <v>0.89000000000000057</v>
      </c>
      <c r="AP93" s="21">
        <v>0.89000000000000101</v>
      </c>
      <c r="AQ93" s="24">
        <f t="shared" si="7"/>
        <v>0.89000000000000057</v>
      </c>
      <c r="AS93" s="21">
        <v>0.89000000000000101</v>
      </c>
      <c r="AT93" s="24">
        <f t="shared" si="8"/>
        <v>0.89000000000000057</v>
      </c>
      <c r="AV93" s="21">
        <v>0.89000000000000101</v>
      </c>
      <c r="AW93" s="24">
        <f t="shared" si="9"/>
        <v>0.89000000000000057</v>
      </c>
      <c r="AY93" s="21">
        <v>0.89000000000000101</v>
      </c>
      <c r="AZ93" s="24">
        <f t="shared" si="10"/>
        <v>0.89000000000000057</v>
      </c>
      <c r="BB93" s="21">
        <v>0.89000000000000101</v>
      </c>
      <c r="BC93" s="24">
        <f t="shared" si="11"/>
        <v>0.89000000000000057</v>
      </c>
    </row>
    <row r="94" spans="3:55" x14ac:dyDescent="0.25">
      <c r="C94" s="20" t="s">
        <v>375</v>
      </c>
      <c r="D94" s="25">
        <f>+$D$60+$D$66+$D$72</f>
        <v>7912.0000000000036</v>
      </c>
      <c r="F94" s="14" t="s">
        <v>370</v>
      </c>
      <c r="AM94" s="21">
        <v>0.90000000000000102</v>
      </c>
      <c r="AN94" s="24">
        <f t="shared" si="6"/>
        <v>0.90000000000000058</v>
      </c>
      <c r="AP94" s="21">
        <v>0.90000000000000102</v>
      </c>
      <c r="AQ94" s="24">
        <f t="shared" si="7"/>
        <v>0.90000000000000058</v>
      </c>
      <c r="AS94" s="21">
        <v>0.90000000000000102</v>
      </c>
      <c r="AT94" s="24">
        <f t="shared" si="8"/>
        <v>0.90000000000000058</v>
      </c>
      <c r="AV94" s="21">
        <v>0.90000000000000102</v>
      </c>
      <c r="AW94" s="24">
        <f t="shared" si="9"/>
        <v>0.90000000000000058</v>
      </c>
      <c r="AY94" s="21">
        <v>0.90000000000000102</v>
      </c>
      <c r="AZ94" s="24">
        <f t="shared" si="10"/>
        <v>0.90000000000000058</v>
      </c>
      <c r="BB94" s="21">
        <v>0.90000000000000102</v>
      </c>
      <c r="BC94" s="24">
        <f t="shared" si="11"/>
        <v>0.90000000000000058</v>
      </c>
    </row>
    <row r="95" spans="3:55" x14ac:dyDescent="0.25">
      <c r="AM95" s="21">
        <v>0.91000000000000103</v>
      </c>
      <c r="AN95" s="24">
        <f t="shared" si="6"/>
        <v>0.91000000000000059</v>
      </c>
      <c r="AP95" s="21">
        <v>0.91000000000000103</v>
      </c>
      <c r="AQ95" s="24">
        <f t="shared" si="7"/>
        <v>0.91000000000000059</v>
      </c>
      <c r="AS95" s="21">
        <v>0.91000000000000103</v>
      </c>
      <c r="AT95" s="24">
        <f t="shared" si="8"/>
        <v>0.91000000000000059</v>
      </c>
      <c r="AV95" s="21">
        <v>0.91000000000000103</v>
      </c>
      <c r="AW95" s="24">
        <f t="shared" si="9"/>
        <v>0.91000000000000059</v>
      </c>
      <c r="AY95" s="21">
        <v>0.91000000000000103</v>
      </c>
      <c r="AZ95" s="24">
        <f t="shared" si="10"/>
        <v>0.91000000000000059</v>
      </c>
      <c r="BB95" s="21">
        <v>0.91000000000000103</v>
      </c>
      <c r="BC95" s="24">
        <f t="shared" si="11"/>
        <v>0.91000000000000059</v>
      </c>
    </row>
    <row r="96" spans="3:55" x14ac:dyDescent="0.25">
      <c r="C96" s="20" t="s">
        <v>376</v>
      </c>
      <c r="D96" s="25">
        <f>+$D$80+$D$86+$D$92</f>
        <v>5377.6000000000022</v>
      </c>
      <c r="F96" s="14" t="s">
        <v>370</v>
      </c>
      <c r="AM96" s="21">
        <v>0.92000000000000104</v>
      </c>
      <c r="AN96" s="24">
        <f t="shared" si="6"/>
        <v>0.9200000000000006</v>
      </c>
      <c r="AP96" s="21">
        <v>0.92000000000000104</v>
      </c>
      <c r="AQ96" s="24">
        <f t="shared" si="7"/>
        <v>0.9200000000000006</v>
      </c>
      <c r="AS96" s="21">
        <v>0.92000000000000104</v>
      </c>
      <c r="AT96" s="24">
        <f t="shared" si="8"/>
        <v>0.9200000000000006</v>
      </c>
      <c r="AV96" s="21">
        <v>0.92000000000000104</v>
      </c>
      <c r="AW96" s="24">
        <f t="shared" si="9"/>
        <v>0.9200000000000006</v>
      </c>
      <c r="AY96" s="21">
        <v>0.92000000000000104</v>
      </c>
      <c r="AZ96" s="24">
        <f t="shared" si="10"/>
        <v>0.9200000000000006</v>
      </c>
      <c r="BB96" s="21">
        <v>0.92000000000000104</v>
      </c>
      <c r="BC96" s="24">
        <f t="shared" si="11"/>
        <v>0.9200000000000006</v>
      </c>
    </row>
    <row r="97" spans="3:55" x14ac:dyDescent="0.25">
      <c r="D97" s="38"/>
      <c r="AM97" s="21">
        <v>0.93000000000000105</v>
      </c>
      <c r="AN97" s="24">
        <f t="shared" si="6"/>
        <v>0.9300000000000006</v>
      </c>
      <c r="AP97" s="21">
        <v>0.93000000000000105</v>
      </c>
      <c r="AQ97" s="24">
        <f t="shared" si="7"/>
        <v>0.9300000000000006</v>
      </c>
      <c r="AS97" s="21">
        <v>0.93000000000000105</v>
      </c>
      <c r="AT97" s="24">
        <f t="shared" si="8"/>
        <v>0.9300000000000006</v>
      </c>
      <c r="AV97" s="21">
        <v>0.93000000000000105</v>
      </c>
      <c r="AW97" s="24">
        <f t="shared" si="9"/>
        <v>0.9300000000000006</v>
      </c>
      <c r="AY97" s="21">
        <v>0.93000000000000105</v>
      </c>
      <c r="AZ97" s="24">
        <f t="shared" si="10"/>
        <v>0.9300000000000006</v>
      </c>
      <c r="BB97" s="21">
        <v>0.93000000000000105</v>
      </c>
      <c r="BC97" s="24">
        <f t="shared" si="11"/>
        <v>0.9300000000000006</v>
      </c>
    </row>
    <row r="98" spans="3:55" x14ac:dyDescent="0.25">
      <c r="AM98" s="21">
        <v>0.94000000000000095</v>
      </c>
      <c r="AN98" s="24">
        <f t="shared" si="6"/>
        <v>0.94000000000000061</v>
      </c>
      <c r="AP98" s="21">
        <v>0.94000000000000095</v>
      </c>
      <c r="AQ98" s="24">
        <f t="shared" si="7"/>
        <v>0.94000000000000061</v>
      </c>
      <c r="AS98" s="21">
        <v>0.94000000000000095</v>
      </c>
      <c r="AT98" s="24">
        <f t="shared" si="8"/>
        <v>0.94000000000000061</v>
      </c>
      <c r="AV98" s="21">
        <v>0.94000000000000095</v>
      </c>
      <c r="AW98" s="24">
        <f t="shared" si="9"/>
        <v>0.94000000000000061</v>
      </c>
      <c r="AY98" s="21">
        <v>0.94000000000000095</v>
      </c>
      <c r="AZ98" s="24">
        <f t="shared" si="10"/>
        <v>0.94000000000000061</v>
      </c>
      <c r="BB98" s="21">
        <v>0.94000000000000095</v>
      </c>
      <c r="BC98" s="24">
        <f t="shared" si="11"/>
        <v>0.94000000000000061</v>
      </c>
    </row>
    <row r="99" spans="3:55" ht="16.5" thickBot="1" x14ac:dyDescent="0.3">
      <c r="C99" s="44" t="s">
        <v>384</v>
      </c>
      <c r="D99" s="44"/>
      <c r="F99" s="13" t="s">
        <v>51</v>
      </c>
      <c r="G99" s="13" t="s">
        <v>52</v>
      </c>
      <c r="AM99" s="21">
        <v>0.95000000000000095</v>
      </c>
      <c r="AN99" s="24">
        <f t="shared" si="6"/>
        <v>0.95000000000000062</v>
      </c>
      <c r="AP99" s="21">
        <v>0.95000000000000095</v>
      </c>
      <c r="AQ99" s="24">
        <f t="shared" si="7"/>
        <v>0.95000000000000062</v>
      </c>
      <c r="AS99" s="21">
        <v>0.95000000000000095</v>
      </c>
      <c r="AT99" s="24">
        <f t="shared" si="8"/>
        <v>0.95000000000000062</v>
      </c>
      <c r="AV99" s="21">
        <v>0.95000000000000095</v>
      </c>
      <c r="AW99" s="24">
        <f t="shared" si="9"/>
        <v>0.95000000000000062</v>
      </c>
      <c r="AY99" s="21">
        <v>0.95000000000000095</v>
      </c>
      <c r="AZ99" s="24">
        <f t="shared" si="10"/>
        <v>0.95000000000000062</v>
      </c>
      <c r="BB99" s="21">
        <v>0.95000000000000095</v>
      </c>
      <c r="BC99" s="24">
        <f t="shared" si="11"/>
        <v>0.95000000000000062</v>
      </c>
    </row>
    <row r="100" spans="3:55" x14ac:dyDescent="0.25">
      <c r="AM100" s="21">
        <v>0.96000000000000096</v>
      </c>
      <c r="AN100" s="24">
        <f t="shared" si="6"/>
        <v>0.96000000000000063</v>
      </c>
      <c r="AP100" s="21">
        <v>0.96000000000000096</v>
      </c>
      <c r="AQ100" s="24">
        <f t="shared" si="7"/>
        <v>0.96000000000000063</v>
      </c>
      <c r="AS100" s="21">
        <v>0.96000000000000096</v>
      </c>
      <c r="AT100" s="24">
        <f t="shared" si="8"/>
        <v>0.96000000000000063</v>
      </c>
      <c r="AV100" s="21">
        <v>0.96000000000000096</v>
      </c>
      <c r="AW100" s="24">
        <f t="shared" si="9"/>
        <v>0.96000000000000063</v>
      </c>
      <c r="AY100" s="21">
        <v>0.96000000000000096</v>
      </c>
      <c r="AZ100" s="24">
        <f t="shared" si="10"/>
        <v>0.96000000000000063</v>
      </c>
      <c r="BB100" s="21">
        <v>0.96000000000000096</v>
      </c>
      <c r="BC100" s="24">
        <f t="shared" si="11"/>
        <v>0.96000000000000063</v>
      </c>
    </row>
    <row r="101" spans="3:55" x14ac:dyDescent="0.25">
      <c r="C101" s="20" t="s">
        <v>391</v>
      </c>
      <c r="D101" s="31">
        <v>20</v>
      </c>
      <c r="F101" s="14" t="s">
        <v>370</v>
      </c>
      <c r="AM101" s="21">
        <v>0.97000000000000097</v>
      </c>
      <c r="AN101" s="24">
        <f t="shared" si="6"/>
        <v>0.97000000000000064</v>
      </c>
      <c r="AP101" s="21">
        <v>0.97000000000000097</v>
      </c>
      <c r="AQ101" s="24">
        <f t="shared" si="7"/>
        <v>0.97000000000000064</v>
      </c>
      <c r="AS101" s="21">
        <v>0.97000000000000097</v>
      </c>
      <c r="AT101" s="24">
        <f t="shared" si="8"/>
        <v>0.97000000000000064</v>
      </c>
      <c r="AV101" s="21">
        <v>0.97000000000000097</v>
      </c>
      <c r="AW101" s="24">
        <f t="shared" si="9"/>
        <v>0.97000000000000064</v>
      </c>
      <c r="AY101" s="21">
        <v>0.97000000000000097</v>
      </c>
      <c r="AZ101" s="24">
        <f t="shared" si="10"/>
        <v>0.97000000000000064</v>
      </c>
      <c r="BB101" s="21">
        <v>0.97000000000000097</v>
      </c>
      <c r="BC101" s="24">
        <f t="shared" si="11"/>
        <v>0.97000000000000064</v>
      </c>
    </row>
    <row r="102" spans="3:55" x14ac:dyDescent="0.25">
      <c r="AM102" s="21">
        <v>0.98000000000000098</v>
      </c>
      <c r="AN102" s="24">
        <f t="shared" si="6"/>
        <v>0.98000000000000065</v>
      </c>
      <c r="AP102" s="21">
        <v>0.98000000000000098</v>
      </c>
      <c r="AQ102" s="24">
        <f t="shared" si="7"/>
        <v>0.98000000000000065</v>
      </c>
      <c r="AS102" s="21">
        <v>0.98000000000000098</v>
      </c>
      <c r="AT102" s="24">
        <f t="shared" si="8"/>
        <v>0.98000000000000065</v>
      </c>
      <c r="AV102" s="21">
        <v>0.98000000000000098</v>
      </c>
      <c r="AW102" s="24">
        <f t="shared" si="9"/>
        <v>0.98000000000000065</v>
      </c>
      <c r="AY102" s="21">
        <v>0.98000000000000098</v>
      </c>
      <c r="AZ102" s="24">
        <f t="shared" si="10"/>
        <v>0.98000000000000065</v>
      </c>
      <c r="BB102" s="21">
        <v>0.98000000000000098</v>
      </c>
      <c r="BC102" s="24">
        <f t="shared" si="11"/>
        <v>0.98000000000000065</v>
      </c>
    </row>
    <row r="103" spans="3:55" x14ac:dyDescent="0.25">
      <c r="C103" s="20" t="s">
        <v>389</v>
      </c>
      <c r="D103" s="31">
        <v>25</v>
      </c>
      <c r="F103" s="14" t="s">
        <v>370</v>
      </c>
      <c r="AM103" s="21">
        <v>0.99000000000000099</v>
      </c>
      <c r="AN103" s="24">
        <f t="shared" si="6"/>
        <v>0.99000000000000066</v>
      </c>
      <c r="AP103" s="21">
        <v>0.99000000000000099</v>
      </c>
      <c r="AQ103" s="24">
        <f t="shared" si="7"/>
        <v>0.99000000000000066</v>
      </c>
      <c r="AS103" s="21">
        <v>0.99000000000000099</v>
      </c>
      <c r="AT103" s="24">
        <f t="shared" si="8"/>
        <v>0.99000000000000066</v>
      </c>
      <c r="AV103" s="21">
        <v>0.99000000000000099</v>
      </c>
      <c r="AW103" s="24">
        <f t="shared" si="9"/>
        <v>0.99000000000000066</v>
      </c>
      <c r="AY103" s="21">
        <v>0.99000000000000099</v>
      </c>
      <c r="AZ103" s="24">
        <f t="shared" si="10"/>
        <v>0.99000000000000066</v>
      </c>
      <c r="BB103" s="21">
        <v>0.99000000000000099</v>
      </c>
      <c r="BC103" s="24">
        <f t="shared" si="11"/>
        <v>0.99000000000000066</v>
      </c>
    </row>
    <row r="104" spans="3:55" x14ac:dyDescent="0.25">
      <c r="AM104" s="21">
        <v>1</v>
      </c>
      <c r="AN104" s="24">
        <f t="shared" si="6"/>
        <v>1.0000000000000007</v>
      </c>
      <c r="AP104" s="21">
        <v>1</v>
      </c>
      <c r="AQ104" s="24">
        <f t="shared" si="7"/>
        <v>1.0000000000000007</v>
      </c>
      <c r="AS104" s="21">
        <v>1</v>
      </c>
      <c r="AT104" s="24">
        <f t="shared" si="8"/>
        <v>1.0000000000000007</v>
      </c>
      <c r="AV104" s="21">
        <v>1</v>
      </c>
      <c r="AW104" s="24">
        <f t="shared" si="9"/>
        <v>1.0000000000000007</v>
      </c>
      <c r="AY104" s="21">
        <v>1</v>
      </c>
      <c r="AZ104" s="24">
        <f t="shared" si="10"/>
        <v>1.0000000000000007</v>
      </c>
      <c r="BB104" s="21">
        <v>1</v>
      </c>
      <c r="BC104" s="24">
        <f t="shared" si="11"/>
        <v>1.0000000000000007</v>
      </c>
    </row>
    <row r="105" spans="3:55" x14ac:dyDescent="0.25">
      <c r="C105" s="20" t="s">
        <v>390</v>
      </c>
      <c r="F105" s="14" t="s">
        <v>370</v>
      </c>
      <c r="AQ105" s="23"/>
      <c r="AT105" s="23"/>
      <c r="AW105" s="23"/>
      <c r="AZ105" s="23"/>
      <c r="BC105" s="23"/>
    </row>
    <row r="106" spans="3:55" x14ac:dyDescent="0.25">
      <c r="AM106" s="1" t="s">
        <v>17</v>
      </c>
      <c r="AN106" s="23" t="s">
        <v>357</v>
      </c>
      <c r="AP106" s="1" t="s">
        <v>17</v>
      </c>
      <c r="AQ106" s="23" t="s">
        <v>357</v>
      </c>
      <c r="AS106" s="1" t="s">
        <v>17</v>
      </c>
      <c r="AT106" s="23" t="s">
        <v>357</v>
      </c>
      <c r="AV106" s="1" t="s">
        <v>17</v>
      </c>
      <c r="AW106" s="23" t="s">
        <v>357</v>
      </c>
      <c r="AY106" s="1" t="s">
        <v>17</v>
      </c>
      <c r="AZ106" s="23" t="s">
        <v>357</v>
      </c>
      <c r="BB106" s="1" t="s">
        <v>17</v>
      </c>
      <c r="BC106" s="23" t="s">
        <v>357</v>
      </c>
    </row>
    <row r="107" spans="3:55" x14ac:dyDescent="0.25">
      <c r="AM107" s="1">
        <v>86</v>
      </c>
      <c r="AN107" s="24">
        <f>CHOOSE(AM107,AN4,AN5,AN6,AN7,AN8,AN9,AN10,AN11,AN12,AN13,AN14,AN15,AN16,AN17,AN18,AN19,AN20,AN21,AN22,AN23,AN24,AN25,AN26,AN27,AN28,AN29,AN30,AN31,AN32,AN33,AN34,AN35,AN36,AN37,AN38,AN39,AN40,AN41,AN42,AN43,AN44,AN45,AN46,AN47,AN48,AN49,AN50,AN51,AN52,AN53,AN54,AN55,AN56,AN57,AN58,AN59,AN60,AN61,AN62,AN63,AN64,AN65,AN66,AN67,AN68,AN69,AN70,AN71,AN72,AN73,AN74,AN75,AN76,AN77,AN78,AN79,AN80,AN81,AN82,AN83,AN84,AN85,AN86,AN87,AN88,AN89,AN90,AN91,AN92,AN93,AN94,AN95,AN96,AN97,AN98,AN99,AN100,AN101,AN102,AN103,AN104)</f>
        <v>0.85000000000000053</v>
      </c>
      <c r="AP107" s="1">
        <v>51</v>
      </c>
      <c r="AQ107" s="24">
        <f>CHOOSE(AP107,AQ4,AQ5,AQ6,AQ7,AQ8,AQ9,AQ10,AQ11,AQ12,AQ13,AQ14,AQ15,AQ16,AQ17,AQ18,AQ19,AQ20,AQ21,AQ22,AQ23,AQ24,AQ25,AQ26,AQ27,AQ28,AQ29,AQ30,AQ31,AQ32,AQ33,AQ34,AQ35,AQ36,AQ37,AQ38,AQ39,AQ40,AQ41,AQ42,AQ43,AQ44,AQ45,AQ46,AQ47,AQ48,AQ49,AQ50,AQ51,AQ52,AQ53,AQ54,AQ55,AQ56,AQ57,AQ58,AQ59,AQ60,AQ61,AQ62,AQ63,AQ64,AQ65,AQ66,AQ67,AQ68,AQ69,AQ70,AQ71,AQ72,AQ73,AQ74,AQ75,AQ76,AQ77,AQ78,AQ79,AQ80,AQ81,AQ82,AQ83,AQ84,AQ85,AQ86,AQ87,AQ88,AQ89,AQ90,AQ91,AQ92,AQ93,AQ94,AQ95,AQ96,AQ97,AQ98,AQ99,AQ100,AQ101,AQ102,AQ103,AQ104)</f>
        <v>0.50000000000000022</v>
      </c>
      <c r="AS107" s="1">
        <v>51</v>
      </c>
      <c r="AT107" s="24">
        <f>CHOOSE(AS107,AT4,AT5,AT6,AT7,AT8,AT9,AT10,AT11,AT12,AT13,AT14,AT15,AT16,AT17,AT18,AT19,AT20,AT21,AT22,AT23,AT24,AT25,AT26,AT27,AT28,AT29,AT30,AT31,AT32,AT33,AT34,AT35,AT36,AT37,AT38,AT39,AT40,AT41,AT42,AT43,AT44,AT45,AT46,AT47,AT48,AT49,AT50,AT51,AT52,AT53,AT54,AT55,AT56,AT57,AT58,AT59,AT60,AT61,AT62,AT63,AT64,AT65,AT66,AT67,AT68,AT69,AT70,AT71,AT72,AT73,AT74,AT75,AT76,AT77,AT78,AT79,AT80,AT81,AT82,AT83,AT84,AT85,AT86,AT87,AT88,AT89,AT90,AT91,AT92,AT93,AT94,AT95,AT96,AT97,AT98,AT99,AT100,AT101,AT102,AT103,AT104)</f>
        <v>0.50000000000000022</v>
      </c>
      <c r="AV107" s="1">
        <v>41</v>
      </c>
      <c r="AW107" s="24">
        <f>CHOOSE(AV107,AW4,AW5,AW6,AW7,AW8,AW9,AW10,AW11,AW12,AW13,AW14,AW15,AW16,AW17,AW18,AW19,AW20,AW21,AW22,AW23,AW24,AW25,AW26,AW27,AW28,AW29,AW30,AW31,AW32,AW33,AW34,AW35,AW36,AW37,AW38,AW39,AW40,AW41,AW42,AW43,AW44,AW45,AW46,AW47,AW48,AW49,AW50,AW51,AW52,AW53,AW54,AW55,AW56,AW57,AW58,AW59,AW60,AW61,AW62,AW63,AW64,AW65,AW66,AW67,AW68,AW69,AW70,AW71,AW72,AW73,AW74,AW75,AW76,AW77,AW78,AW79,AW80,AW81,AW82,AW83,AW84,AW85,AW86,AW87,AW88,AW89,AW90,AW91,AW92,AW93,AW94,AW95,AW96,AW97,AW98,AW99,AW100,AW101,AW102,AW103,AW104)</f>
        <v>0.40000000000000019</v>
      </c>
      <c r="AY107" s="1">
        <v>41</v>
      </c>
      <c r="AZ107" s="24">
        <f>CHOOSE(AY107,AZ4,AZ5,AZ6,AZ7,AZ8,AZ9,AZ10,AZ11,AZ12,AZ13,AZ14,AZ15,AZ16,AZ17,AZ18,AZ19,AZ20,AZ21,AZ22,AZ23,AZ24,AZ25,AZ26,AZ27,AZ28,AZ29,AZ30,AZ31,AZ32,AZ33,AZ34,AZ35,AZ36,AZ37,AZ38,AZ39,AZ40,AZ41,AZ42,AZ43,AZ44,AZ45,AZ46,AZ47,AZ48,AZ49,AZ50,AZ51,AZ52,AZ53,AZ54,AZ55,AZ56,AZ57,AZ58,AZ59,AZ60,AZ61,AZ62,AZ63,AZ64,AZ65,AZ66,AZ67,AZ68,AZ69,AZ70,AZ71,AZ72,AZ73,AZ74,AZ75,AZ76,AZ77,AZ78,AZ79,AZ80,AZ81,AZ82,AZ83,AZ84,AZ85,AZ86,AZ87,AZ88,AZ89,AZ90,AZ91,AZ92,AZ93,AZ94,AZ95,AZ96,AZ97,AZ98,AZ99,AZ100,AZ101,AZ102,AZ103,AZ104)</f>
        <v>0.40000000000000019</v>
      </c>
      <c r="BB107" s="1">
        <v>41</v>
      </c>
      <c r="BC107" s="24">
        <f>CHOOSE(BB107,BC4,BC5,BC6,BC7,BC8,BC9,BC10,BC11,BC12,BC13,BC14,BC15,BC16,BC17,BC18,BC19,BC20,BC21,BC22,BC23,BC24,BC25,BC26,BC27,BC28,BC29,BC30,BC31,BC32,BC33,BC34,BC35,BC36,BC37,BC38,BC39,BC40,BC41,BC42,BC43,BC44,BC45,BC46,BC47,BC48,BC49,BC50,BC51,BC52,BC53,BC54,BC55,BC56,BC57,BC58,BC59,BC60,BC61,BC62,BC63,BC64,BC65,BC66,BC67,BC68,BC69,BC70,BC71,BC72,BC73,BC74,BC75,BC76,BC77,BC78,BC79,BC80,BC81,BC82,BC83,BC84,BC85,BC86,BC87,BC88,BC89,BC90,BC91,BC92,BC93,BC94,BC95,BC96,BC97,BC98,BC99,BC100,BC101,BC102,BC103,BC104)</f>
        <v>0.40000000000000019</v>
      </c>
    </row>
    <row r="108" spans="3:55" x14ac:dyDescent="0.25">
      <c r="AQ108" s="23"/>
      <c r="AT108" s="23"/>
      <c r="AW108" s="23"/>
      <c r="AZ108" s="23"/>
      <c r="BC108" s="23"/>
    </row>
  </sheetData>
  <mergeCells count="4">
    <mergeCell ref="C4:D4"/>
    <mergeCell ref="C25:D25"/>
    <mergeCell ref="C42:D42"/>
    <mergeCell ref="C99:D99"/>
  </mergeCells>
  <hyperlinks>
    <hyperlink ref="A7" location="Home!A1" display="Home" xr:uid="{00000000-0004-0000-0300-000000000000}"/>
    <hyperlink ref="A11" location="Population!A1" display="Population" xr:uid="{00000000-0004-0000-0300-000001000000}"/>
    <hyperlink ref="A13" location="Costs!A1" display="Costs" xr:uid="{00000000-0004-0000-0300-000002000000}"/>
    <hyperlink ref="A15" location="'Resource Use'!A1" display="Resource Use" xr:uid="{00000000-0004-0000-0300-000003000000}"/>
    <hyperlink ref="A17" location="Results!A1" display="Results" xr:uid="{00000000-0004-0000-0300-000004000000}"/>
    <hyperlink ref="A19" location="'Determinist analysis'!A1" display="Deterministic analysis" xr:uid="{00000000-0004-0000-0300-000005000000}"/>
    <hyperlink ref="A9" location="Description!A1" display="Description" xr:uid="{00000000-0004-0000-0300-000006000000}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9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0</xdr:rowOff>
                  </from>
                  <to>
                    <xdr:col>4</xdr:col>
                    <xdr:colOff>9525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5" name="Drop Down 4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4</xdr:col>
                    <xdr:colOff>9525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6" name="Drop Down 5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9525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7" name="Drop Down 6">
              <controlPr defaultSize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4</xdr:col>
                    <xdr:colOff>9525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8" name="Drop Down 7">
              <controlPr defaultSize="0" autoLine="0" autoPict="0">
                <anchor moveWithCells="1">
                  <from>
                    <xdr:col>3</xdr:col>
                    <xdr:colOff>0</xdr:colOff>
                    <xdr:row>43</xdr:row>
                    <xdr:rowOff>0</xdr:rowOff>
                  </from>
                  <to>
                    <xdr:col>4</xdr:col>
                    <xdr:colOff>9525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9" name="Drop Down 11">
              <controlPr defaultSize="0" autoLine="0" autoPict="0">
                <anchor moveWithCells="1">
                  <from>
                    <xdr:col>3</xdr:col>
                    <xdr:colOff>0</xdr:colOff>
                    <xdr:row>57</xdr:row>
                    <xdr:rowOff>0</xdr:rowOff>
                  </from>
                  <to>
                    <xdr:col>4</xdr:col>
                    <xdr:colOff>9525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0" name="Drop Down 12">
              <controlPr defaultSize="0" autoLine="0" autoPict="0">
                <anchor moveWithCells="1">
                  <from>
                    <xdr:col>3</xdr:col>
                    <xdr:colOff>0</xdr:colOff>
                    <xdr:row>63</xdr:row>
                    <xdr:rowOff>0</xdr:rowOff>
                  </from>
                  <to>
                    <xdr:col>4</xdr:col>
                    <xdr:colOff>9525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1" name="Drop Down 13">
              <controlPr defaultSize="0" autoLine="0" autoPict="0">
                <anchor moveWithCells="1">
                  <from>
                    <xdr:col>3</xdr:col>
                    <xdr:colOff>0</xdr:colOff>
                    <xdr:row>69</xdr:row>
                    <xdr:rowOff>0</xdr:rowOff>
                  </from>
                  <to>
                    <xdr:col>4</xdr:col>
                    <xdr:colOff>9525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2" name="Drop Down 14">
              <controlPr defaultSize="0" autoLine="0" autoPict="0">
                <anchor moveWithCells="1">
                  <from>
                    <xdr:col>3</xdr:col>
                    <xdr:colOff>0</xdr:colOff>
                    <xdr:row>77</xdr:row>
                    <xdr:rowOff>0</xdr:rowOff>
                  </from>
                  <to>
                    <xdr:col>4</xdr:col>
                    <xdr:colOff>9525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3" name="Drop Down 15">
              <controlPr defaultSize="0" autoLine="0" autoPict="0">
                <anchor moveWithCells="1">
                  <from>
                    <xdr:col>3</xdr:col>
                    <xdr:colOff>0</xdr:colOff>
                    <xdr:row>83</xdr:row>
                    <xdr:rowOff>0</xdr:rowOff>
                  </from>
                  <to>
                    <xdr:col>4</xdr:col>
                    <xdr:colOff>9525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4" name="Drop Down 16">
              <controlPr defaultSize="0" autoLine="0" autoPict="0">
                <anchor moveWithCells="1">
                  <from>
                    <xdr:col>3</xdr:col>
                    <xdr:colOff>0</xdr:colOff>
                    <xdr:row>89</xdr:row>
                    <xdr:rowOff>0</xdr:rowOff>
                  </from>
                  <to>
                    <xdr:col>4</xdr:col>
                    <xdr:colOff>9525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5" name="Check Box 17">
              <controlPr defaultSize="0" autoFill="0" autoLine="0" autoPict="0">
                <anchor moveWithCells="1">
                  <from>
                    <xdr:col>1</xdr:col>
                    <xdr:colOff>428625</xdr:colOff>
                    <xdr:row>42</xdr:row>
                    <xdr:rowOff>152400</xdr:rowOff>
                  </from>
                  <to>
                    <xdr:col>1</xdr:col>
                    <xdr:colOff>809625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16" name="Check Box 18">
              <controlPr defaultSize="0" autoFill="0" autoLine="0" autoPict="0">
                <anchor moveWithCells="1">
                  <from>
                    <xdr:col>1</xdr:col>
                    <xdr:colOff>419100</xdr:colOff>
                    <xdr:row>50</xdr:row>
                    <xdr:rowOff>123825</xdr:rowOff>
                  </from>
                  <to>
                    <xdr:col>1</xdr:col>
                    <xdr:colOff>733425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17" name="Drop Down 20">
              <controlPr defaultSize="0" autoLine="0" autoPict="0">
                <anchor moveWithCells="1">
                  <from>
                    <xdr:col>3</xdr:col>
                    <xdr:colOff>0</xdr:colOff>
                    <xdr:row>104</xdr:row>
                    <xdr:rowOff>0</xdr:rowOff>
                  </from>
                  <to>
                    <xdr:col>4</xdr:col>
                    <xdr:colOff>9525</xdr:colOff>
                    <xdr:row>105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AB108"/>
  <sheetViews>
    <sheetView showGridLines="0" showRowColHeaders="0" zoomScaleNormal="100" workbookViewId="0">
      <selection activeCell="A17" sqref="A17"/>
    </sheetView>
  </sheetViews>
  <sheetFormatPr defaultColWidth="10.875" defaultRowHeight="15.75" x14ac:dyDescent="0.25"/>
  <cols>
    <col min="1" max="1" width="30.875" style="2" customWidth="1"/>
    <col min="2" max="2" width="10.875" style="1"/>
    <col min="3" max="3" width="6" style="1" customWidth="1"/>
    <col min="4" max="4" width="62.375" style="1" customWidth="1"/>
    <col min="5" max="5" width="27.375" style="1" customWidth="1"/>
    <col min="6" max="16384" width="10.875" style="1"/>
  </cols>
  <sheetData>
    <row r="4" spans="1:28" ht="16.5" thickBot="1" x14ac:dyDescent="0.3">
      <c r="D4" s="44" t="s">
        <v>363</v>
      </c>
      <c r="E4" s="44"/>
      <c r="G4" s="13" t="s">
        <v>51</v>
      </c>
      <c r="H4" s="13" t="s">
        <v>52</v>
      </c>
      <c r="AB4" s="23">
        <v>0</v>
      </c>
    </row>
    <row r="5" spans="1:28" x14ac:dyDescent="0.25">
      <c r="O5" s="1" t="b">
        <v>1</v>
      </c>
      <c r="AA5" s="21">
        <v>0.01</v>
      </c>
      <c r="AB5" s="24">
        <f>1/100</f>
        <v>0.01</v>
      </c>
    </row>
    <row r="6" spans="1:28" x14ac:dyDescent="0.25">
      <c r="D6" s="13" t="s">
        <v>362</v>
      </c>
      <c r="H6" s="1" t="s">
        <v>364</v>
      </c>
      <c r="AA6" s="21">
        <v>0.02</v>
      </c>
      <c r="AB6" s="24">
        <f>+AB5+0.01</f>
        <v>0.02</v>
      </c>
    </row>
    <row r="7" spans="1:28" x14ac:dyDescent="0.25">
      <c r="A7" s="5" t="s">
        <v>0</v>
      </c>
      <c r="AA7" s="21">
        <v>0.03</v>
      </c>
      <c r="AB7" s="24">
        <f>+AB6+0.01</f>
        <v>0.03</v>
      </c>
    </row>
    <row r="8" spans="1:28" x14ac:dyDescent="0.25">
      <c r="A8" s="6"/>
      <c r="D8" s="13" t="s">
        <v>366</v>
      </c>
      <c r="E8" s="19">
        <f>+IF(O5=TRUE,$AB$107,0)</f>
        <v>7.0000000000000007E-2</v>
      </c>
      <c r="AA8" s="21">
        <v>0.04</v>
      </c>
      <c r="AB8" s="24">
        <f t="shared" ref="AB8:AB71" si="0">+AB7+0.01</f>
        <v>0.04</v>
      </c>
    </row>
    <row r="9" spans="1:28" x14ac:dyDescent="0.25">
      <c r="A9" s="5" t="s">
        <v>1</v>
      </c>
      <c r="AA9" s="21">
        <v>0.05</v>
      </c>
      <c r="AB9" s="24">
        <f t="shared" si="0"/>
        <v>0.05</v>
      </c>
    </row>
    <row r="10" spans="1:28" x14ac:dyDescent="0.25">
      <c r="A10" s="6"/>
      <c r="AA10" s="21">
        <v>0.06</v>
      </c>
      <c r="AB10" s="24">
        <f t="shared" si="0"/>
        <v>6.0000000000000005E-2</v>
      </c>
    </row>
    <row r="11" spans="1:28" ht="16.5" thickBot="1" x14ac:dyDescent="0.3">
      <c r="A11" s="5" t="s">
        <v>2</v>
      </c>
      <c r="D11" s="44" t="s">
        <v>387</v>
      </c>
      <c r="E11" s="44"/>
      <c r="AA11" s="21">
        <v>7.0000000000000007E-2</v>
      </c>
      <c r="AB11" s="24">
        <f t="shared" si="0"/>
        <v>7.0000000000000007E-2</v>
      </c>
    </row>
    <row r="12" spans="1:28" x14ac:dyDescent="0.25">
      <c r="A12" s="6"/>
      <c r="N12" s="22"/>
      <c r="AA12" s="21">
        <v>0.08</v>
      </c>
      <c r="AB12" s="24">
        <f t="shared" si="0"/>
        <v>0.08</v>
      </c>
    </row>
    <row r="13" spans="1:28" x14ac:dyDescent="0.25">
      <c r="A13" s="5" t="s">
        <v>3</v>
      </c>
      <c r="D13" s="1" t="s">
        <v>388</v>
      </c>
      <c r="E13" s="25">
        <f>+IF(Costs!$P$43=TRUE,(Costs!$D$48-Costs!$D$50),0)+(IF(Costs!$P$52=TRUE,(Costs!$D$94-Costs!$D$96),0))</f>
        <v>2534.4000000000015</v>
      </c>
      <c r="AA13" s="21">
        <v>0.09</v>
      </c>
      <c r="AB13" s="24">
        <f t="shared" si="0"/>
        <v>0.09</v>
      </c>
    </row>
    <row r="14" spans="1:28" x14ac:dyDescent="0.25">
      <c r="A14" s="6"/>
      <c r="AA14" s="21">
        <v>0.1</v>
      </c>
      <c r="AB14" s="24">
        <f t="shared" si="0"/>
        <v>9.9999999999999992E-2</v>
      </c>
    </row>
    <row r="15" spans="1:28" x14ac:dyDescent="0.25">
      <c r="A15" s="8" t="s">
        <v>4</v>
      </c>
      <c r="AA15" s="21">
        <v>0.11</v>
      </c>
      <c r="AB15" s="24">
        <f t="shared" si="0"/>
        <v>0.10999999999999999</v>
      </c>
    </row>
    <row r="16" spans="1:28" ht="16.5" thickBot="1" x14ac:dyDescent="0.3">
      <c r="A16" s="6"/>
      <c r="D16" s="44" t="s">
        <v>384</v>
      </c>
      <c r="E16" s="44"/>
      <c r="AA16" s="21">
        <v>0.12</v>
      </c>
      <c r="AB16" s="24">
        <f t="shared" si="0"/>
        <v>0.11999999999999998</v>
      </c>
    </row>
    <row r="17" spans="1:28" x14ac:dyDescent="0.25">
      <c r="A17" s="5" t="s">
        <v>5</v>
      </c>
      <c r="AA17" s="21">
        <v>0.13</v>
      </c>
      <c r="AB17" s="24">
        <f t="shared" si="0"/>
        <v>0.12999999999999998</v>
      </c>
    </row>
    <row r="18" spans="1:28" x14ac:dyDescent="0.25">
      <c r="A18" s="6"/>
      <c r="D18" s="20" t="s">
        <v>385</v>
      </c>
      <c r="E18" s="25">
        <f>Costs!$D$101*Costs!$D$22</f>
        <v>7040</v>
      </c>
      <c r="G18" s="14" t="s">
        <v>370</v>
      </c>
      <c r="AA18" s="21">
        <v>0.14000000000000001</v>
      </c>
      <c r="AB18" s="24">
        <f t="shared" si="0"/>
        <v>0.13999999999999999</v>
      </c>
    </row>
    <row r="19" spans="1:28" x14ac:dyDescent="0.25">
      <c r="A19" s="5" t="s">
        <v>6</v>
      </c>
      <c r="AA19" s="21">
        <v>0.15</v>
      </c>
      <c r="AB19" s="24">
        <f t="shared" si="0"/>
        <v>0.15</v>
      </c>
    </row>
    <row r="20" spans="1:28" x14ac:dyDescent="0.25">
      <c r="D20" s="20" t="s">
        <v>386</v>
      </c>
      <c r="E20" s="25">
        <f>Costs!$D$103*Costs!$D$22*Costs!$BC$107</f>
        <v>3520.0000000000018</v>
      </c>
      <c r="G20" s="14" t="s">
        <v>370</v>
      </c>
      <c r="AA20" s="21">
        <v>0.16</v>
      </c>
      <c r="AB20" s="24">
        <f t="shared" si="0"/>
        <v>0.16</v>
      </c>
    </row>
    <row r="21" spans="1:28" x14ac:dyDescent="0.25">
      <c r="AA21" s="21">
        <v>0.17</v>
      </c>
      <c r="AB21" s="24">
        <f t="shared" si="0"/>
        <v>0.17</v>
      </c>
    </row>
    <row r="22" spans="1:28" x14ac:dyDescent="0.25">
      <c r="AA22" s="21">
        <v>0.18</v>
      </c>
      <c r="AB22" s="24">
        <f t="shared" si="0"/>
        <v>0.18000000000000002</v>
      </c>
    </row>
    <row r="23" spans="1:28" x14ac:dyDescent="0.25">
      <c r="AA23" s="21">
        <v>0.19</v>
      </c>
      <c r="AB23" s="24">
        <f t="shared" si="0"/>
        <v>0.19000000000000003</v>
      </c>
    </row>
    <row r="24" spans="1:28" x14ac:dyDescent="0.25">
      <c r="AA24" s="21">
        <v>0.2</v>
      </c>
      <c r="AB24" s="24">
        <f t="shared" si="0"/>
        <v>0.20000000000000004</v>
      </c>
    </row>
    <row r="25" spans="1:28" x14ac:dyDescent="0.25">
      <c r="AA25" s="21">
        <v>0.21</v>
      </c>
      <c r="AB25" s="24">
        <f t="shared" si="0"/>
        <v>0.21000000000000005</v>
      </c>
    </row>
    <row r="26" spans="1:28" x14ac:dyDescent="0.25">
      <c r="AA26" s="21">
        <v>0.22</v>
      </c>
      <c r="AB26" s="24">
        <f t="shared" si="0"/>
        <v>0.22000000000000006</v>
      </c>
    </row>
    <row r="27" spans="1:28" x14ac:dyDescent="0.25">
      <c r="AA27" s="21">
        <v>0.23</v>
      </c>
      <c r="AB27" s="24">
        <f t="shared" si="0"/>
        <v>0.23000000000000007</v>
      </c>
    </row>
    <row r="28" spans="1:28" x14ac:dyDescent="0.25">
      <c r="AA28" s="21">
        <v>0.24</v>
      </c>
      <c r="AB28" s="24">
        <f t="shared" si="0"/>
        <v>0.24000000000000007</v>
      </c>
    </row>
    <row r="29" spans="1:28" x14ac:dyDescent="0.25">
      <c r="AA29" s="21">
        <v>0.25</v>
      </c>
      <c r="AB29" s="24">
        <f t="shared" si="0"/>
        <v>0.25000000000000006</v>
      </c>
    </row>
    <row r="30" spans="1:28" x14ac:dyDescent="0.25">
      <c r="AA30" s="21">
        <v>0.26</v>
      </c>
      <c r="AB30" s="24">
        <f t="shared" si="0"/>
        <v>0.26000000000000006</v>
      </c>
    </row>
    <row r="31" spans="1:28" x14ac:dyDescent="0.25">
      <c r="AA31" s="21">
        <v>0.27</v>
      </c>
      <c r="AB31" s="24">
        <f t="shared" si="0"/>
        <v>0.27000000000000007</v>
      </c>
    </row>
    <row r="32" spans="1:28" x14ac:dyDescent="0.25">
      <c r="AA32" s="21">
        <v>0.28000000000000003</v>
      </c>
      <c r="AB32" s="24">
        <f t="shared" si="0"/>
        <v>0.28000000000000008</v>
      </c>
    </row>
    <row r="33" spans="4:28" x14ac:dyDescent="0.25">
      <c r="AA33" s="21">
        <v>0.28999999999999998</v>
      </c>
      <c r="AB33" s="24">
        <f t="shared" si="0"/>
        <v>0.29000000000000009</v>
      </c>
    </row>
    <row r="34" spans="4:28" x14ac:dyDescent="0.25">
      <c r="AA34" s="21">
        <v>0.3</v>
      </c>
      <c r="AB34" s="24">
        <f t="shared" si="0"/>
        <v>0.3000000000000001</v>
      </c>
    </row>
    <row r="35" spans="4:28" x14ac:dyDescent="0.25">
      <c r="AA35" s="21">
        <v>0.31</v>
      </c>
      <c r="AB35" s="24">
        <f t="shared" si="0"/>
        <v>0.31000000000000011</v>
      </c>
    </row>
    <row r="36" spans="4:28" x14ac:dyDescent="0.25">
      <c r="AA36" s="21">
        <v>0.32</v>
      </c>
      <c r="AB36" s="24">
        <f t="shared" si="0"/>
        <v>0.32000000000000012</v>
      </c>
    </row>
    <row r="37" spans="4:28" x14ac:dyDescent="0.25">
      <c r="AA37" s="21">
        <v>0.33</v>
      </c>
      <c r="AB37" s="24">
        <f t="shared" si="0"/>
        <v>0.33000000000000013</v>
      </c>
    </row>
    <row r="38" spans="4:28" x14ac:dyDescent="0.25">
      <c r="AA38" s="21">
        <v>0.34</v>
      </c>
      <c r="AB38" s="24">
        <f t="shared" si="0"/>
        <v>0.34000000000000014</v>
      </c>
    </row>
    <row r="39" spans="4:28" x14ac:dyDescent="0.25">
      <c r="AA39" s="21">
        <v>0.35</v>
      </c>
      <c r="AB39" s="24">
        <f t="shared" si="0"/>
        <v>0.35000000000000014</v>
      </c>
    </row>
    <row r="40" spans="4:28" ht="16.5" thickBot="1" x14ac:dyDescent="0.3">
      <c r="D40" s="44" t="s">
        <v>365</v>
      </c>
      <c r="E40" s="44"/>
      <c r="AA40" s="21">
        <v>0.36</v>
      </c>
      <c r="AB40" s="24">
        <f t="shared" si="0"/>
        <v>0.36000000000000015</v>
      </c>
    </row>
    <row r="41" spans="4:28" x14ac:dyDescent="0.25">
      <c r="AA41" s="21">
        <v>0.37</v>
      </c>
      <c r="AB41" s="24">
        <f t="shared" si="0"/>
        <v>0.37000000000000016</v>
      </c>
    </row>
    <row r="42" spans="4:28" x14ac:dyDescent="0.25">
      <c r="AA42" s="21">
        <v>0.38</v>
      </c>
      <c r="AB42" s="24">
        <f t="shared" si="0"/>
        <v>0.38000000000000017</v>
      </c>
    </row>
    <row r="43" spans="4:28" x14ac:dyDescent="0.25">
      <c r="AA43" s="21">
        <v>0.39</v>
      </c>
      <c r="AB43" s="24">
        <f t="shared" si="0"/>
        <v>0.39000000000000018</v>
      </c>
    </row>
    <row r="44" spans="4:28" x14ac:dyDescent="0.25">
      <c r="AA44" s="21">
        <v>0.4</v>
      </c>
      <c r="AB44" s="24">
        <f t="shared" si="0"/>
        <v>0.40000000000000019</v>
      </c>
    </row>
    <row r="45" spans="4:28" x14ac:dyDescent="0.25">
      <c r="AA45" s="21">
        <v>0.41</v>
      </c>
      <c r="AB45" s="24">
        <f t="shared" si="0"/>
        <v>0.4100000000000002</v>
      </c>
    </row>
    <row r="46" spans="4:28" x14ac:dyDescent="0.25">
      <c r="AA46" s="21">
        <v>0.42</v>
      </c>
      <c r="AB46" s="24">
        <f t="shared" si="0"/>
        <v>0.42000000000000021</v>
      </c>
    </row>
    <row r="47" spans="4:28" x14ac:dyDescent="0.25">
      <c r="AA47" s="21">
        <v>0.43</v>
      </c>
      <c r="AB47" s="24">
        <f t="shared" si="0"/>
        <v>0.43000000000000022</v>
      </c>
    </row>
    <row r="48" spans="4:28" x14ac:dyDescent="0.25">
      <c r="AA48" s="21">
        <v>0.44</v>
      </c>
      <c r="AB48" s="24">
        <f t="shared" si="0"/>
        <v>0.44000000000000022</v>
      </c>
    </row>
    <row r="49" spans="27:28" x14ac:dyDescent="0.25">
      <c r="AA49" s="21">
        <v>0.45</v>
      </c>
      <c r="AB49" s="24">
        <f t="shared" si="0"/>
        <v>0.45000000000000023</v>
      </c>
    </row>
    <row r="50" spans="27:28" x14ac:dyDescent="0.25">
      <c r="AA50" s="21">
        <v>0.46</v>
      </c>
      <c r="AB50" s="24">
        <f t="shared" si="0"/>
        <v>0.46000000000000024</v>
      </c>
    </row>
    <row r="51" spans="27:28" x14ac:dyDescent="0.25">
      <c r="AA51" s="21">
        <v>0.47</v>
      </c>
      <c r="AB51" s="24">
        <f t="shared" si="0"/>
        <v>0.47000000000000025</v>
      </c>
    </row>
    <row r="52" spans="27:28" x14ac:dyDescent="0.25">
      <c r="AA52" s="21">
        <v>0.48</v>
      </c>
      <c r="AB52" s="24">
        <f t="shared" si="0"/>
        <v>0.48000000000000026</v>
      </c>
    </row>
    <row r="53" spans="27:28" x14ac:dyDescent="0.25">
      <c r="AA53" s="21">
        <v>0.49</v>
      </c>
      <c r="AB53" s="24">
        <f t="shared" si="0"/>
        <v>0.49000000000000027</v>
      </c>
    </row>
    <row r="54" spans="27:28" x14ac:dyDescent="0.25">
      <c r="AA54" s="21">
        <v>0.5</v>
      </c>
      <c r="AB54" s="24">
        <f t="shared" si="0"/>
        <v>0.50000000000000022</v>
      </c>
    </row>
    <row r="55" spans="27:28" x14ac:dyDescent="0.25">
      <c r="AA55" s="21">
        <v>0.51</v>
      </c>
      <c r="AB55" s="24">
        <f t="shared" si="0"/>
        <v>0.51000000000000023</v>
      </c>
    </row>
    <row r="56" spans="27:28" x14ac:dyDescent="0.25">
      <c r="AA56" s="21">
        <v>0.52</v>
      </c>
      <c r="AB56" s="24">
        <f t="shared" si="0"/>
        <v>0.52000000000000024</v>
      </c>
    </row>
    <row r="57" spans="27:28" x14ac:dyDescent="0.25">
      <c r="AA57" s="21">
        <v>0.53</v>
      </c>
      <c r="AB57" s="24">
        <f t="shared" si="0"/>
        <v>0.53000000000000025</v>
      </c>
    </row>
    <row r="58" spans="27:28" x14ac:dyDescent="0.25">
      <c r="AA58" s="21">
        <v>0.54</v>
      </c>
      <c r="AB58" s="24">
        <f t="shared" si="0"/>
        <v>0.54000000000000026</v>
      </c>
    </row>
    <row r="59" spans="27:28" x14ac:dyDescent="0.25">
      <c r="AA59" s="21">
        <v>0.55000000000000004</v>
      </c>
      <c r="AB59" s="24">
        <f t="shared" si="0"/>
        <v>0.55000000000000027</v>
      </c>
    </row>
    <row r="60" spans="27:28" x14ac:dyDescent="0.25">
      <c r="AA60" s="21">
        <v>0.56000000000000005</v>
      </c>
      <c r="AB60" s="24">
        <f t="shared" si="0"/>
        <v>0.56000000000000028</v>
      </c>
    </row>
    <row r="61" spans="27:28" x14ac:dyDescent="0.25">
      <c r="AA61" s="21">
        <v>0.56999999999999995</v>
      </c>
      <c r="AB61" s="24">
        <f t="shared" si="0"/>
        <v>0.57000000000000028</v>
      </c>
    </row>
    <row r="62" spans="27:28" x14ac:dyDescent="0.25">
      <c r="AA62" s="21">
        <v>0.57999999999999996</v>
      </c>
      <c r="AB62" s="24">
        <f t="shared" si="0"/>
        <v>0.58000000000000029</v>
      </c>
    </row>
    <row r="63" spans="27:28" x14ac:dyDescent="0.25">
      <c r="AA63" s="21">
        <v>0.59</v>
      </c>
      <c r="AB63" s="24">
        <f t="shared" si="0"/>
        <v>0.5900000000000003</v>
      </c>
    </row>
    <row r="64" spans="27:28" x14ac:dyDescent="0.25">
      <c r="AA64" s="21">
        <v>0.6</v>
      </c>
      <c r="AB64" s="24">
        <f t="shared" si="0"/>
        <v>0.60000000000000031</v>
      </c>
    </row>
    <row r="65" spans="27:28" x14ac:dyDescent="0.25">
      <c r="AA65" s="21">
        <v>0.61</v>
      </c>
      <c r="AB65" s="24">
        <f t="shared" si="0"/>
        <v>0.61000000000000032</v>
      </c>
    </row>
    <row r="66" spans="27:28" x14ac:dyDescent="0.25">
      <c r="AA66" s="21">
        <v>0.62</v>
      </c>
      <c r="AB66" s="24">
        <f t="shared" si="0"/>
        <v>0.62000000000000033</v>
      </c>
    </row>
    <row r="67" spans="27:28" x14ac:dyDescent="0.25">
      <c r="AA67" s="21">
        <v>0.63</v>
      </c>
      <c r="AB67" s="24">
        <f t="shared" si="0"/>
        <v>0.63000000000000034</v>
      </c>
    </row>
    <row r="68" spans="27:28" x14ac:dyDescent="0.25">
      <c r="AA68" s="21">
        <v>0.64</v>
      </c>
      <c r="AB68" s="24">
        <f t="shared" si="0"/>
        <v>0.64000000000000035</v>
      </c>
    </row>
    <row r="69" spans="27:28" x14ac:dyDescent="0.25">
      <c r="AA69" s="21">
        <v>0.65</v>
      </c>
      <c r="AB69" s="24">
        <f t="shared" si="0"/>
        <v>0.65000000000000036</v>
      </c>
    </row>
    <row r="70" spans="27:28" x14ac:dyDescent="0.25">
      <c r="AA70" s="21">
        <v>0.66</v>
      </c>
      <c r="AB70" s="24">
        <f t="shared" si="0"/>
        <v>0.66000000000000036</v>
      </c>
    </row>
    <row r="71" spans="27:28" x14ac:dyDescent="0.25">
      <c r="AA71" s="21">
        <v>0.67</v>
      </c>
      <c r="AB71" s="24">
        <f t="shared" si="0"/>
        <v>0.67000000000000037</v>
      </c>
    </row>
    <row r="72" spans="27:28" x14ac:dyDescent="0.25">
      <c r="AA72" s="21">
        <v>0.68</v>
      </c>
      <c r="AB72" s="24">
        <f t="shared" ref="AB72:AB104" si="1">+AB71+0.01</f>
        <v>0.68000000000000038</v>
      </c>
    </row>
    <row r="73" spans="27:28" x14ac:dyDescent="0.25">
      <c r="AA73" s="21">
        <v>0.69</v>
      </c>
      <c r="AB73" s="24">
        <f t="shared" si="1"/>
        <v>0.69000000000000039</v>
      </c>
    </row>
    <row r="74" spans="27:28" x14ac:dyDescent="0.25">
      <c r="AA74" s="21">
        <v>0.7</v>
      </c>
      <c r="AB74" s="24">
        <f t="shared" si="1"/>
        <v>0.7000000000000004</v>
      </c>
    </row>
    <row r="75" spans="27:28" x14ac:dyDescent="0.25">
      <c r="AA75" s="21">
        <v>0.71</v>
      </c>
      <c r="AB75" s="24">
        <f t="shared" si="1"/>
        <v>0.71000000000000041</v>
      </c>
    </row>
    <row r="76" spans="27:28" x14ac:dyDescent="0.25">
      <c r="AA76" s="21">
        <v>0.72</v>
      </c>
      <c r="AB76" s="24">
        <f t="shared" si="1"/>
        <v>0.72000000000000042</v>
      </c>
    </row>
    <row r="77" spans="27:28" x14ac:dyDescent="0.25">
      <c r="AA77" s="21">
        <v>0.73</v>
      </c>
      <c r="AB77" s="24">
        <f t="shared" si="1"/>
        <v>0.73000000000000043</v>
      </c>
    </row>
    <row r="78" spans="27:28" x14ac:dyDescent="0.25">
      <c r="AA78" s="21">
        <v>0.74</v>
      </c>
      <c r="AB78" s="24">
        <f t="shared" si="1"/>
        <v>0.74000000000000044</v>
      </c>
    </row>
    <row r="79" spans="27:28" x14ac:dyDescent="0.25">
      <c r="AA79" s="21">
        <v>0.75</v>
      </c>
      <c r="AB79" s="24">
        <f t="shared" si="1"/>
        <v>0.75000000000000044</v>
      </c>
    </row>
    <row r="80" spans="27:28" x14ac:dyDescent="0.25">
      <c r="AA80" s="21">
        <v>0.76</v>
      </c>
      <c r="AB80" s="24">
        <f t="shared" si="1"/>
        <v>0.76000000000000045</v>
      </c>
    </row>
    <row r="81" spans="27:28" x14ac:dyDescent="0.25">
      <c r="AA81" s="21">
        <v>0.77</v>
      </c>
      <c r="AB81" s="24">
        <f t="shared" si="1"/>
        <v>0.77000000000000046</v>
      </c>
    </row>
    <row r="82" spans="27:28" x14ac:dyDescent="0.25">
      <c r="AA82" s="21">
        <v>0.78</v>
      </c>
      <c r="AB82" s="24">
        <f t="shared" si="1"/>
        <v>0.78000000000000047</v>
      </c>
    </row>
    <row r="83" spans="27:28" x14ac:dyDescent="0.25">
      <c r="AA83" s="21">
        <v>0.79</v>
      </c>
      <c r="AB83" s="24">
        <f t="shared" si="1"/>
        <v>0.79000000000000048</v>
      </c>
    </row>
    <row r="84" spans="27:28" x14ac:dyDescent="0.25">
      <c r="AA84" s="21">
        <v>0.8</v>
      </c>
      <c r="AB84" s="24">
        <f t="shared" si="1"/>
        <v>0.80000000000000049</v>
      </c>
    </row>
    <row r="85" spans="27:28" x14ac:dyDescent="0.25">
      <c r="AA85" s="21">
        <v>0.81000000000000105</v>
      </c>
      <c r="AB85" s="24">
        <f t="shared" si="1"/>
        <v>0.8100000000000005</v>
      </c>
    </row>
    <row r="86" spans="27:28" x14ac:dyDescent="0.25">
      <c r="AA86" s="21">
        <v>0.82000000000000095</v>
      </c>
      <c r="AB86" s="24">
        <f t="shared" si="1"/>
        <v>0.82000000000000051</v>
      </c>
    </row>
    <row r="87" spans="27:28" x14ac:dyDescent="0.25">
      <c r="AA87" s="21">
        <v>0.83000000000000096</v>
      </c>
      <c r="AB87" s="24">
        <f t="shared" si="1"/>
        <v>0.83000000000000052</v>
      </c>
    </row>
    <row r="88" spans="27:28" x14ac:dyDescent="0.25">
      <c r="AA88" s="21">
        <v>0.84000000000000097</v>
      </c>
      <c r="AB88" s="24">
        <f t="shared" si="1"/>
        <v>0.84000000000000052</v>
      </c>
    </row>
    <row r="89" spans="27:28" x14ac:dyDescent="0.25">
      <c r="AA89" s="21">
        <v>0.85000000000000098</v>
      </c>
      <c r="AB89" s="24">
        <f t="shared" si="1"/>
        <v>0.85000000000000053</v>
      </c>
    </row>
    <row r="90" spans="27:28" x14ac:dyDescent="0.25">
      <c r="AA90" s="21">
        <v>0.86000000000000099</v>
      </c>
      <c r="AB90" s="24">
        <f t="shared" si="1"/>
        <v>0.86000000000000054</v>
      </c>
    </row>
    <row r="91" spans="27:28" x14ac:dyDescent="0.25">
      <c r="AA91" s="21">
        <v>0.87000000000000099</v>
      </c>
      <c r="AB91" s="24">
        <f t="shared" si="1"/>
        <v>0.87000000000000055</v>
      </c>
    </row>
    <row r="92" spans="27:28" x14ac:dyDescent="0.25">
      <c r="AA92" s="21">
        <v>0.880000000000001</v>
      </c>
      <c r="AB92" s="24">
        <f t="shared" si="1"/>
        <v>0.88000000000000056</v>
      </c>
    </row>
    <row r="93" spans="27:28" x14ac:dyDescent="0.25">
      <c r="AA93" s="21">
        <v>0.89000000000000101</v>
      </c>
      <c r="AB93" s="24">
        <f t="shared" si="1"/>
        <v>0.89000000000000057</v>
      </c>
    </row>
    <row r="94" spans="27:28" x14ac:dyDescent="0.25">
      <c r="AA94" s="21">
        <v>0.90000000000000102</v>
      </c>
      <c r="AB94" s="24">
        <f t="shared" si="1"/>
        <v>0.90000000000000058</v>
      </c>
    </row>
    <row r="95" spans="27:28" x14ac:dyDescent="0.25">
      <c r="AA95" s="21">
        <v>0.91000000000000103</v>
      </c>
      <c r="AB95" s="24">
        <f t="shared" si="1"/>
        <v>0.91000000000000059</v>
      </c>
    </row>
    <row r="96" spans="27:28" x14ac:dyDescent="0.25">
      <c r="AA96" s="21">
        <v>0.92000000000000104</v>
      </c>
      <c r="AB96" s="24">
        <f t="shared" si="1"/>
        <v>0.9200000000000006</v>
      </c>
    </row>
    <row r="97" spans="27:28" x14ac:dyDescent="0.25">
      <c r="AA97" s="21">
        <v>0.93000000000000105</v>
      </c>
      <c r="AB97" s="24">
        <f t="shared" si="1"/>
        <v>0.9300000000000006</v>
      </c>
    </row>
    <row r="98" spans="27:28" x14ac:dyDescent="0.25">
      <c r="AA98" s="21">
        <v>0.94000000000000095</v>
      </c>
      <c r="AB98" s="24">
        <f t="shared" si="1"/>
        <v>0.94000000000000061</v>
      </c>
    </row>
    <row r="99" spans="27:28" x14ac:dyDescent="0.25">
      <c r="AA99" s="21">
        <v>0.95000000000000095</v>
      </c>
      <c r="AB99" s="24">
        <f t="shared" si="1"/>
        <v>0.95000000000000062</v>
      </c>
    </row>
    <row r="100" spans="27:28" x14ac:dyDescent="0.25">
      <c r="AA100" s="21">
        <v>0.96000000000000096</v>
      </c>
      <c r="AB100" s="24">
        <f t="shared" si="1"/>
        <v>0.96000000000000063</v>
      </c>
    </row>
    <row r="101" spans="27:28" x14ac:dyDescent="0.25">
      <c r="AA101" s="21">
        <v>0.97000000000000097</v>
      </c>
      <c r="AB101" s="24">
        <f t="shared" si="1"/>
        <v>0.97000000000000064</v>
      </c>
    </row>
    <row r="102" spans="27:28" x14ac:dyDescent="0.25">
      <c r="AA102" s="21">
        <v>0.98000000000000098</v>
      </c>
      <c r="AB102" s="24">
        <f t="shared" si="1"/>
        <v>0.98000000000000065</v>
      </c>
    </row>
    <row r="103" spans="27:28" x14ac:dyDescent="0.25">
      <c r="AA103" s="21">
        <v>0.99000000000000099</v>
      </c>
      <c r="AB103" s="24">
        <f t="shared" si="1"/>
        <v>0.99000000000000066</v>
      </c>
    </row>
    <row r="104" spans="27:28" x14ac:dyDescent="0.25">
      <c r="AA104" s="21">
        <v>1</v>
      </c>
      <c r="AB104" s="24">
        <f t="shared" si="1"/>
        <v>1.0000000000000007</v>
      </c>
    </row>
    <row r="105" spans="27:28" x14ac:dyDescent="0.25">
      <c r="AB105" s="23"/>
    </row>
    <row r="106" spans="27:28" x14ac:dyDescent="0.25">
      <c r="AA106" s="1" t="s">
        <v>17</v>
      </c>
      <c r="AB106" s="23" t="s">
        <v>357</v>
      </c>
    </row>
    <row r="107" spans="27:28" x14ac:dyDescent="0.25">
      <c r="AA107" s="1">
        <v>8</v>
      </c>
      <c r="AB107" s="24">
        <f>CHOOSE(AA107,AB4,AB5,AB6,AB7,AB8,AB9,AB10,AB11,AB12,AB13,AB14,AB15,AB16,AB17,AB18,AB19,AB20,AB21,AB22,AB23,AB24,AB25,AB26,AB27,AB28,AB29,AB30,AB31,AB32,AB33,AB34,AB35,AB36,AB37,AB38,AB39,AB40,AB41,AB42,AB43,AB44,AB45,AB46,AB47,AB48,AB49,AB50,AB51,AB52,AB53,AB54,AB55,AB56,AB57,AB58,AB59,AB60,AB61,AB62,AB63,AB64,AB65,AB66,AB67,AB68,AB69,AB70,AB71,AB72,AB73,AB74,AB75,AB76,AB77,AB78,AB79,AB80,AB81,AB82,AB83,AB84,AB85,AB86,AB87,AB88,AB89,AB90,AB91,AB92,AB93,AB94,AB95,AB96,AB97,AB98,AB99,AB100,AB101,AB102,AB103,AB104)</f>
        <v>7.0000000000000007E-2</v>
      </c>
    </row>
    <row r="108" spans="27:28" x14ac:dyDescent="0.25">
      <c r="AB108" s="23"/>
    </row>
  </sheetData>
  <mergeCells count="4">
    <mergeCell ref="D4:E4"/>
    <mergeCell ref="D40:E40"/>
    <mergeCell ref="D11:E11"/>
    <mergeCell ref="D16:E16"/>
  </mergeCells>
  <hyperlinks>
    <hyperlink ref="A7" location="Home!A1" display="Home" xr:uid="{00000000-0004-0000-0400-000000000000}"/>
    <hyperlink ref="A11" location="Population!A1" display="Population" xr:uid="{00000000-0004-0000-0400-000001000000}"/>
    <hyperlink ref="A13" location="Costs!A1" display="Costs" xr:uid="{00000000-0004-0000-0400-000002000000}"/>
    <hyperlink ref="A15" location="'Resource Use'!A1" display="Resource Use" xr:uid="{00000000-0004-0000-0400-000003000000}"/>
    <hyperlink ref="A17" location="Results!A1" display="Results" xr:uid="{00000000-0004-0000-0400-000004000000}"/>
    <hyperlink ref="A19" location="'Determinist analysis'!A1" display="Deterministic analysis" xr:uid="{00000000-0004-0000-0400-000005000000}"/>
    <hyperlink ref="A9" location="Description!A1" display="Description" xr:uid="{00000000-0004-0000-0400-000006000000}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Check Box 1">
              <controlPr defaultSize="0" autoFill="0" autoLine="0" autoPict="0">
                <anchor moveWithCells="1">
                  <from>
                    <xdr:col>2</xdr:col>
                    <xdr:colOff>152400</xdr:colOff>
                    <xdr:row>2</xdr:row>
                    <xdr:rowOff>161925</xdr:rowOff>
                  </from>
                  <to>
                    <xdr:col>2</xdr:col>
                    <xdr:colOff>419100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4" name="Drop Down 4">
              <controlPr defaultSize="0" autoLine="0" autoPict="0">
                <anchor moveWithCells="1">
                  <from>
                    <xdr:col>4</xdr:col>
                    <xdr:colOff>0</xdr:colOff>
                    <xdr:row>4</xdr:row>
                    <xdr:rowOff>190500</xdr:rowOff>
                  </from>
                  <to>
                    <xdr:col>4</xdr:col>
                    <xdr:colOff>2085975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I20"/>
  <sheetViews>
    <sheetView showGridLines="0" showRowColHeaders="0" workbookViewId="0">
      <selection activeCell="A19" sqref="A19"/>
    </sheetView>
  </sheetViews>
  <sheetFormatPr defaultColWidth="10.875" defaultRowHeight="15.75" x14ac:dyDescent="0.25"/>
  <cols>
    <col min="1" max="1" width="30.875" style="2" customWidth="1"/>
    <col min="2" max="2" width="10.875" style="1"/>
    <col min="3" max="9" width="20.875" style="1" customWidth="1"/>
    <col min="10" max="16384" width="10.875" style="1"/>
  </cols>
  <sheetData>
    <row r="4" spans="1:9" ht="16.5" thickBot="1" x14ac:dyDescent="0.3">
      <c r="C4" s="44" t="s">
        <v>392</v>
      </c>
      <c r="D4" s="44"/>
      <c r="E4" s="44"/>
      <c r="F4" s="44"/>
      <c r="G4" s="44"/>
      <c r="H4" s="44"/>
      <c r="I4" s="44"/>
    </row>
    <row r="5" spans="1:9" ht="16.5" thickBot="1" x14ac:dyDescent="0.3"/>
    <row r="6" spans="1:9" ht="45.95" customHeight="1" x14ac:dyDescent="0.25">
      <c r="C6" s="42" t="s">
        <v>393</v>
      </c>
      <c r="D6" s="43" t="s">
        <v>394</v>
      </c>
      <c r="E6" s="43" t="s">
        <v>395</v>
      </c>
      <c r="F6" s="43" t="s">
        <v>396</v>
      </c>
      <c r="G6" s="43" t="s">
        <v>397</v>
      </c>
      <c r="H6" s="43" t="s">
        <v>398</v>
      </c>
      <c r="I6" s="43" t="s">
        <v>399</v>
      </c>
    </row>
    <row r="7" spans="1:9" x14ac:dyDescent="0.25">
      <c r="A7" s="5" t="s">
        <v>0</v>
      </c>
      <c r="C7" s="40">
        <f>+Population!$D$21</f>
        <v>55</v>
      </c>
      <c r="D7" s="40">
        <f>+Population!$D$19</f>
        <v>771736.96799999999</v>
      </c>
      <c r="E7" s="41">
        <f>+D7*'Resource Use'!$E$13</f>
        <v>1955890171.6992011</v>
      </c>
      <c r="F7" s="41">
        <f>+E7*(('Resource Use'!$E$18+'Resource Use'!$E$20)/2)</f>
        <v>10327100106571.783</v>
      </c>
      <c r="G7" s="41">
        <f>SUM(E7:F7)</f>
        <v>10329055996743.482</v>
      </c>
      <c r="H7" s="41"/>
      <c r="I7" s="41"/>
    </row>
    <row r="8" spans="1:9" x14ac:dyDescent="0.25">
      <c r="A8" s="6"/>
      <c r="C8" s="40">
        <f>+C7+1</f>
        <v>56</v>
      </c>
      <c r="D8" s="40">
        <f>+D7*(1-'Resource Use'!$E$8)</f>
        <v>717715.38023999997</v>
      </c>
      <c r="E8" s="41">
        <f>+D8*'Resource Use'!$E$13</f>
        <v>1818977859.6802571</v>
      </c>
      <c r="F8" s="41">
        <f>+E8*(('Resource Use'!$E$18+'Resource Use'!$E$20)/2)</f>
        <v>9604203099111.7598</v>
      </c>
      <c r="G8" s="41">
        <f t="shared" ref="G8" si="0">SUM(E8:F8)</f>
        <v>9606022076971.4395</v>
      </c>
      <c r="H8" s="41">
        <f>+E7-E8+H7</f>
        <v>136912312.01894403</v>
      </c>
      <c r="I8" s="41">
        <f>+F7-F8+I7</f>
        <v>722897007460.02344</v>
      </c>
    </row>
    <row r="9" spans="1:9" x14ac:dyDescent="0.25">
      <c r="A9" s="5" t="s">
        <v>1</v>
      </c>
      <c r="C9" s="40">
        <f t="shared" ref="C9:C17" si="1">+C8+1</f>
        <v>57</v>
      </c>
      <c r="D9" s="40">
        <f>+D8*(1-'Resource Use'!$E$8)</f>
        <v>667475.30362319993</v>
      </c>
      <c r="E9" s="41">
        <f>+D9*'Resource Use'!$E$13</f>
        <v>1691649409.5026388</v>
      </c>
      <c r="F9" s="41">
        <f>+E9*(('Resource Use'!$E$18+'Resource Use'!$E$20)/2)</f>
        <v>8931908882173.9336</v>
      </c>
      <c r="G9" s="41">
        <f t="shared" ref="G9:G17" si="2">SUM(E9:F9)</f>
        <v>8933600531583.4355</v>
      </c>
      <c r="H9" s="41">
        <f t="shared" ref="H9:H17" si="3">+E8-E9+H8</f>
        <v>264240762.19656229</v>
      </c>
      <c r="I9" s="41">
        <f t="shared" ref="I9:I17" si="4">+F8-F9+I8</f>
        <v>1395191224397.8496</v>
      </c>
    </row>
    <row r="10" spans="1:9" x14ac:dyDescent="0.25">
      <c r="A10" s="6"/>
      <c r="C10" s="40">
        <f t="shared" si="1"/>
        <v>58</v>
      </c>
      <c r="D10" s="40">
        <f>+D9*(1-'Resource Use'!$E$8)</f>
        <v>620752.03236957593</v>
      </c>
      <c r="E10" s="41">
        <f>+D10*'Resource Use'!$E$13</f>
        <v>1573233950.8374541</v>
      </c>
      <c r="F10" s="41">
        <f>+E10*(('Resource Use'!$E$18+'Resource Use'!$E$20)/2)</f>
        <v>8306675260421.7588</v>
      </c>
      <c r="G10" s="41">
        <f t="shared" si="2"/>
        <v>8308248494372.5967</v>
      </c>
      <c r="H10" s="41">
        <f t="shared" si="3"/>
        <v>382656220.86174703</v>
      </c>
      <c r="I10" s="41">
        <f t="shared" si="4"/>
        <v>2020424846150.0244</v>
      </c>
    </row>
    <row r="11" spans="1:9" x14ac:dyDescent="0.25">
      <c r="A11" s="5" t="s">
        <v>2</v>
      </c>
      <c r="C11" s="40">
        <f t="shared" si="1"/>
        <v>59</v>
      </c>
      <c r="D11" s="40">
        <f>+D10*(1-'Resource Use'!$E$8)</f>
        <v>577299.39010370558</v>
      </c>
      <c r="E11" s="41">
        <f>+D11*'Resource Use'!$E$13</f>
        <v>1463107574.2788322</v>
      </c>
      <c r="F11" s="41">
        <f>+E11*(('Resource Use'!$E$18+'Resource Use'!$E$20)/2)</f>
        <v>7725207992192.2354</v>
      </c>
      <c r="G11" s="41">
        <f t="shared" si="2"/>
        <v>7726671099766.5146</v>
      </c>
      <c r="H11" s="41">
        <f t="shared" si="3"/>
        <v>492782597.42036891</v>
      </c>
      <c r="I11" s="41">
        <f t="shared" si="4"/>
        <v>2601892114379.5479</v>
      </c>
    </row>
    <row r="12" spans="1:9" x14ac:dyDescent="0.25">
      <c r="A12" s="6"/>
      <c r="C12" s="40">
        <f t="shared" si="1"/>
        <v>60</v>
      </c>
      <c r="D12" s="40">
        <f>+D11*(1-'Resource Use'!$E$8)</f>
        <v>536888.43279644614</v>
      </c>
      <c r="E12" s="41">
        <f>+D12*'Resource Use'!$E$13</f>
        <v>1360690044.079314</v>
      </c>
      <c r="F12" s="41">
        <f>+E12*(('Resource Use'!$E$18+'Resource Use'!$E$20)/2)</f>
        <v>7184443432738.7793</v>
      </c>
      <c r="G12" s="41">
        <f t="shared" si="2"/>
        <v>7185804122782.8584</v>
      </c>
      <c r="H12" s="41">
        <f t="shared" si="3"/>
        <v>595200127.61988711</v>
      </c>
      <c r="I12" s="41">
        <f t="shared" si="4"/>
        <v>3142656673833.0039</v>
      </c>
    </row>
    <row r="13" spans="1:9" x14ac:dyDescent="0.25">
      <c r="A13" s="5" t="s">
        <v>3</v>
      </c>
      <c r="C13" s="40">
        <f t="shared" si="1"/>
        <v>61</v>
      </c>
      <c r="D13" s="40">
        <f>+D12*(1-'Resource Use'!$E$8)</f>
        <v>499306.24250069488</v>
      </c>
      <c r="E13" s="41">
        <f>+D13*'Resource Use'!$E$13</f>
        <v>1265441740.9937618</v>
      </c>
      <c r="F13" s="41">
        <f>+E13*(('Resource Use'!$E$18+'Resource Use'!$E$20)/2)</f>
        <v>6681532392447.0635</v>
      </c>
      <c r="G13" s="41">
        <f t="shared" si="2"/>
        <v>6682797834188.0576</v>
      </c>
      <c r="H13" s="41">
        <f t="shared" si="3"/>
        <v>690448430.70543933</v>
      </c>
      <c r="I13" s="41">
        <f t="shared" si="4"/>
        <v>3645567714124.7197</v>
      </c>
    </row>
    <row r="14" spans="1:9" x14ac:dyDescent="0.25">
      <c r="A14" s="6"/>
      <c r="C14" s="40">
        <f t="shared" si="1"/>
        <v>62</v>
      </c>
      <c r="D14" s="40">
        <f>+D13*(1-'Resource Use'!$E$8)</f>
        <v>464354.8055256462</v>
      </c>
      <c r="E14" s="41">
        <f>+D14*'Resource Use'!$E$13</f>
        <v>1176860819.1241984</v>
      </c>
      <c r="F14" s="41">
        <f>+E14*(('Resource Use'!$E$18+'Resource Use'!$E$20)/2)</f>
        <v>6213825124975.7686</v>
      </c>
      <c r="G14" s="41">
        <f t="shared" si="2"/>
        <v>6215001985794.8926</v>
      </c>
      <c r="H14" s="41">
        <f t="shared" si="3"/>
        <v>779029352.57500267</v>
      </c>
      <c r="I14" s="41">
        <f t="shared" si="4"/>
        <v>4113274981596.0146</v>
      </c>
    </row>
    <row r="15" spans="1:9" x14ac:dyDescent="0.25">
      <c r="A15" s="5" t="s">
        <v>4</v>
      </c>
      <c r="C15" s="40">
        <f t="shared" si="1"/>
        <v>63</v>
      </c>
      <c r="D15" s="40">
        <f>+D14*(1-'Resource Use'!$E$8)</f>
        <v>431849.96913885092</v>
      </c>
      <c r="E15" s="41">
        <f>+D15*'Resource Use'!$E$13</f>
        <v>1094480561.7855043</v>
      </c>
      <c r="F15" s="41">
        <f>+E15*(('Resource Use'!$E$18+'Resource Use'!$E$20)/2)</f>
        <v>5778857366227.4639</v>
      </c>
      <c r="G15" s="41">
        <f t="shared" si="2"/>
        <v>5779951846789.249</v>
      </c>
      <c r="H15" s="41">
        <f t="shared" si="3"/>
        <v>861409609.91369677</v>
      </c>
      <c r="I15" s="41">
        <f t="shared" si="4"/>
        <v>4548242740344.3193</v>
      </c>
    </row>
    <row r="16" spans="1:9" x14ac:dyDescent="0.25">
      <c r="A16" s="6"/>
      <c r="C16" s="40">
        <f t="shared" si="1"/>
        <v>64</v>
      </c>
      <c r="D16" s="40">
        <f>+D15*(1-'Resource Use'!$E$8)</f>
        <v>401620.47129913134</v>
      </c>
      <c r="E16" s="41">
        <f>+D16*'Resource Use'!$E$13</f>
        <v>1017866922.4605191</v>
      </c>
      <c r="F16" s="41">
        <f>+E16*(('Resource Use'!$E$18+'Resource Use'!$E$20)/2)</f>
        <v>5374337350591.542</v>
      </c>
      <c r="G16" s="41">
        <f t="shared" si="2"/>
        <v>5375355217514.0029</v>
      </c>
      <c r="H16" s="41">
        <f t="shared" si="3"/>
        <v>938023249.23868203</v>
      </c>
      <c r="I16" s="41">
        <f t="shared" si="4"/>
        <v>4952762755980.2412</v>
      </c>
    </row>
    <row r="17" spans="1:9" x14ac:dyDescent="0.25">
      <c r="A17" s="8" t="s">
        <v>5</v>
      </c>
      <c r="C17" s="40">
        <f t="shared" si="1"/>
        <v>65</v>
      </c>
      <c r="D17" s="40">
        <f>+D16*(1-'Resource Use'!$E$8)</f>
        <v>373507.0383081921</v>
      </c>
      <c r="E17" s="41">
        <f>+D17*'Resource Use'!$E$13</f>
        <v>946616237.88828266</v>
      </c>
      <c r="F17" s="41">
        <f>+E17*(('Resource Use'!$E$18+'Resource Use'!$E$20)/2)</f>
        <v>4998133736050.1328</v>
      </c>
      <c r="G17" s="41">
        <f t="shared" si="2"/>
        <v>4999080352288.0215</v>
      </c>
      <c r="H17" s="41">
        <f t="shared" si="3"/>
        <v>1009273933.8109185</v>
      </c>
      <c r="I17" s="41">
        <f t="shared" si="4"/>
        <v>5328966370521.6504</v>
      </c>
    </row>
    <row r="18" spans="1:9" x14ac:dyDescent="0.25">
      <c r="A18" s="6"/>
      <c r="C18" s="39"/>
    </row>
    <row r="19" spans="1:9" x14ac:dyDescent="0.25">
      <c r="A19" s="5" t="s">
        <v>6</v>
      </c>
      <c r="C19" s="39"/>
    </row>
    <row r="20" spans="1:9" x14ac:dyDescent="0.25">
      <c r="C20" s="39"/>
    </row>
  </sheetData>
  <mergeCells count="1">
    <mergeCell ref="C4:I4"/>
  </mergeCells>
  <hyperlinks>
    <hyperlink ref="A7" location="Home!A1" display="Home" xr:uid="{00000000-0004-0000-0500-000000000000}"/>
    <hyperlink ref="A11" location="Population!A1" display="Population" xr:uid="{00000000-0004-0000-0500-000001000000}"/>
    <hyperlink ref="A13" location="Costs!A1" display="Costs" xr:uid="{00000000-0004-0000-0500-000002000000}"/>
    <hyperlink ref="A15" location="'Resource Use'!A1" display="Resource Use" xr:uid="{00000000-0004-0000-0500-000003000000}"/>
    <hyperlink ref="A17" location="Results!A1" display="Results" xr:uid="{00000000-0004-0000-0500-000004000000}"/>
    <hyperlink ref="A19" location="'Determinist analysis'!A1" display="Deterministic analysis" xr:uid="{00000000-0004-0000-0500-000005000000}"/>
    <hyperlink ref="A9" location="Description!A1" display="Description" xr:uid="{00000000-0004-0000-0500-000006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X107"/>
  <sheetViews>
    <sheetView showGridLines="0" showRowColHeaders="0" workbookViewId="0">
      <selection activeCell="A7" sqref="A7"/>
    </sheetView>
  </sheetViews>
  <sheetFormatPr defaultColWidth="10.875" defaultRowHeight="15.75" x14ac:dyDescent="0.25"/>
  <cols>
    <col min="1" max="1" width="30.875" style="2" customWidth="1"/>
    <col min="2" max="2" width="10.875" style="1"/>
    <col min="3" max="9" width="20.875" style="1" customWidth="1"/>
    <col min="10" max="23" width="10.875" style="1"/>
    <col min="24" max="24" width="10.875" style="23"/>
    <col min="25" max="16384" width="10.875" style="1"/>
  </cols>
  <sheetData>
    <row r="4" spans="1:24" ht="16.5" thickBot="1" x14ac:dyDescent="0.3">
      <c r="C4" s="44" t="s">
        <v>401</v>
      </c>
      <c r="D4" s="44"/>
      <c r="E4" s="44"/>
      <c r="F4" s="44"/>
      <c r="G4" s="44"/>
      <c r="H4" s="44"/>
      <c r="I4" s="44"/>
      <c r="X4" s="23">
        <v>0</v>
      </c>
    </row>
    <row r="5" spans="1:24" x14ac:dyDescent="0.25">
      <c r="W5" s="21">
        <v>0.01</v>
      </c>
      <c r="X5" s="24">
        <f>1/100</f>
        <v>0.01</v>
      </c>
    </row>
    <row r="6" spans="1:24" x14ac:dyDescent="0.25">
      <c r="C6" s="13" t="s">
        <v>408</v>
      </c>
      <c r="W6" s="21">
        <v>0.02</v>
      </c>
      <c r="X6" s="24">
        <f>+X5+0.01</f>
        <v>0.02</v>
      </c>
    </row>
    <row r="7" spans="1:24" x14ac:dyDescent="0.25">
      <c r="A7" s="5" t="s">
        <v>0</v>
      </c>
      <c r="W7" s="21">
        <v>0.03</v>
      </c>
      <c r="X7" s="24">
        <f>+X6+0.01</f>
        <v>0.03</v>
      </c>
    </row>
    <row r="8" spans="1:24" x14ac:dyDescent="0.25">
      <c r="A8" s="6"/>
      <c r="W8" s="21">
        <v>0.04</v>
      </c>
      <c r="X8" s="24">
        <f t="shared" ref="X8:X71" si="0">+X7+0.01</f>
        <v>0.04</v>
      </c>
    </row>
    <row r="9" spans="1:24" x14ac:dyDescent="0.25">
      <c r="A9" s="5" t="s">
        <v>1</v>
      </c>
      <c r="W9" s="21">
        <v>0.05</v>
      </c>
      <c r="X9" s="24">
        <f t="shared" si="0"/>
        <v>0.05</v>
      </c>
    </row>
    <row r="10" spans="1:24" x14ac:dyDescent="0.25">
      <c r="A10" s="6"/>
      <c r="W10" s="21">
        <v>0.06</v>
      </c>
      <c r="X10" s="24">
        <f t="shared" si="0"/>
        <v>6.0000000000000005E-2</v>
      </c>
    </row>
    <row r="11" spans="1:24" x14ac:dyDescent="0.25">
      <c r="A11" s="5" t="s">
        <v>2</v>
      </c>
      <c r="W11" s="21">
        <v>7.0000000000000007E-2</v>
      </c>
      <c r="X11" s="24">
        <f t="shared" si="0"/>
        <v>7.0000000000000007E-2</v>
      </c>
    </row>
    <row r="12" spans="1:24" x14ac:dyDescent="0.25">
      <c r="A12" s="6"/>
      <c r="W12" s="21">
        <v>0.08</v>
      </c>
      <c r="X12" s="24">
        <f t="shared" si="0"/>
        <v>0.08</v>
      </c>
    </row>
    <row r="13" spans="1:24" x14ac:dyDescent="0.25">
      <c r="A13" s="5" t="s">
        <v>3</v>
      </c>
      <c r="W13" s="21">
        <v>0.09</v>
      </c>
      <c r="X13" s="24">
        <f t="shared" si="0"/>
        <v>0.09</v>
      </c>
    </row>
    <row r="14" spans="1:24" x14ac:dyDescent="0.25">
      <c r="A14" s="6"/>
      <c r="W14" s="21">
        <v>0.1</v>
      </c>
      <c r="X14" s="24">
        <f t="shared" si="0"/>
        <v>9.9999999999999992E-2</v>
      </c>
    </row>
    <row r="15" spans="1:24" x14ac:dyDescent="0.25">
      <c r="A15" s="5" t="s">
        <v>4</v>
      </c>
      <c r="W15" s="21">
        <v>0.11</v>
      </c>
      <c r="X15" s="24">
        <f t="shared" si="0"/>
        <v>0.10999999999999999</v>
      </c>
    </row>
    <row r="16" spans="1:24" x14ac:dyDescent="0.25">
      <c r="A16" s="6"/>
      <c r="W16" s="21">
        <v>0.12</v>
      </c>
      <c r="X16" s="24">
        <f t="shared" si="0"/>
        <v>0.11999999999999998</v>
      </c>
    </row>
    <row r="17" spans="1:24" x14ac:dyDescent="0.25">
      <c r="A17" s="5" t="s">
        <v>5</v>
      </c>
      <c r="W17" s="21">
        <v>0.13</v>
      </c>
      <c r="X17" s="24">
        <f t="shared" si="0"/>
        <v>0.12999999999999998</v>
      </c>
    </row>
    <row r="18" spans="1:24" x14ac:dyDescent="0.25">
      <c r="A18" s="6"/>
      <c r="W18" s="21">
        <v>0.14000000000000001</v>
      </c>
      <c r="X18" s="24">
        <f t="shared" si="0"/>
        <v>0.13999999999999999</v>
      </c>
    </row>
    <row r="19" spans="1:24" ht="16.5" thickBot="1" x14ac:dyDescent="0.3">
      <c r="A19" s="8" t="s">
        <v>6</v>
      </c>
      <c r="W19" s="21">
        <v>0.15</v>
      </c>
      <c r="X19" s="24">
        <f t="shared" si="0"/>
        <v>0.15</v>
      </c>
    </row>
    <row r="20" spans="1:24" ht="36" customHeight="1" x14ac:dyDescent="0.25">
      <c r="C20" s="42" t="s">
        <v>393</v>
      </c>
      <c r="D20" s="42" t="s">
        <v>402</v>
      </c>
      <c r="E20" s="42" t="s">
        <v>403</v>
      </c>
      <c r="F20" s="42" t="s">
        <v>404</v>
      </c>
      <c r="G20" s="42" t="s">
        <v>405</v>
      </c>
      <c r="H20" s="42" t="s">
        <v>406</v>
      </c>
      <c r="I20" s="42" t="s">
        <v>407</v>
      </c>
      <c r="W20" s="21">
        <v>0.16</v>
      </c>
      <c r="X20" s="24">
        <f t="shared" si="0"/>
        <v>0.16</v>
      </c>
    </row>
    <row r="21" spans="1:24" x14ac:dyDescent="0.25">
      <c r="C21" s="40">
        <f>+Population!$D$21</f>
        <v>55</v>
      </c>
      <c r="D21" s="40">
        <f>+Results!D7</f>
        <v>771736.96799999999</v>
      </c>
      <c r="E21" s="41">
        <f>NORMINV(0.1,D21,D21*$X$107)</f>
        <v>613493.65287535312</v>
      </c>
      <c r="F21" s="41">
        <f>NORMINV(0.25,D21,E21*$X$107)</f>
        <v>705529.73909203545</v>
      </c>
      <c r="G21" s="41">
        <f>NORMINV(0.5,D21,F21*$X$107)</f>
        <v>771736.96799999999</v>
      </c>
      <c r="H21" s="41">
        <f>NORMINV(0.75,D21,G21*$X$107)</f>
        <v>855021.55596214428</v>
      </c>
      <c r="I21" s="41">
        <f>NORMINV(0.9,D21,H21*$X$107)</f>
        <v>947057.64217882662</v>
      </c>
      <c r="W21" s="21">
        <v>0.17</v>
      </c>
      <c r="X21" s="24">
        <f t="shared" si="0"/>
        <v>0.17</v>
      </c>
    </row>
    <row r="22" spans="1:24" x14ac:dyDescent="0.25">
      <c r="C22" s="40">
        <f>+C21+1</f>
        <v>56</v>
      </c>
      <c r="D22" s="40">
        <f>+Results!D8</f>
        <v>717715.38023999997</v>
      </c>
      <c r="E22" s="41">
        <f t="shared" ref="E22:E31" si="1">NORMINV(0.1,D22,D22*$X$107)</f>
        <v>570549.09717407834</v>
      </c>
      <c r="F22" s="41">
        <f t="shared" ref="F22:F31" si="2">NORMINV(0.25,D22,E22*$X$107)</f>
        <v>656142.65735559294</v>
      </c>
      <c r="G22" s="41">
        <f t="shared" ref="G22:G31" si="3">NORMINV(0.5,D22,F22*$X$107)</f>
        <v>717715.38023999997</v>
      </c>
      <c r="H22" s="41">
        <f t="shared" ref="H22:H31" si="4">NORMINV(0.75,D22,G22*$X$107)</f>
        <v>795170.04704479408</v>
      </c>
      <c r="I22" s="41">
        <f t="shared" ref="I22:I31" si="5">NORMINV(0.9,D22,H22*$X$107)</f>
        <v>880763.60722630867</v>
      </c>
      <c r="W22" s="21">
        <v>0.18</v>
      </c>
      <c r="X22" s="24">
        <f t="shared" si="0"/>
        <v>0.18000000000000002</v>
      </c>
    </row>
    <row r="23" spans="1:24" x14ac:dyDescent="0.25">
      <c r="C23" s="40">
        <f t="shared" ref="C23:C31" si="6">+C22+1</f>
        <v>57</v>
      </c>
      <c r="D23" s="40">
        <f>+Results!D9</f>
        <v>667475.30362319993</v>
      </c>
      <c r="E23" s="41">
        <f t="shared" si="1"/>
        <v>530610.66037189285</v>
      </c>
      <c r="F23" s="41">
        <f t="shared" si="2"/>
        <v>610212.6713407014</v>
      </c>
      <c r="G23" s="41">
        <f t="shared" si="3"/>
        <v>667475.30362319993</v>
      </c>
      <c r="H23" s="41">
        <f t="shared" si="4"/>
        <v>739508.1437516585</v>
      </c>
      <c r="I23" s="41">
        <f t="shared" si="5"/>
        <v>819110.15472046705</v>
      </c>
      <c r="W23" s="21">
        <v>0.19</v>
      </c>
      <c r="X23" s="24">
        <f t="shared" si="0"/>
        <v>0.19000000000000003</v>
      </c>
    </row>
    <row r="24" spans="1:24" x14ac:dyDescent="0.25">
      <c r="C24" s="40">
        <f t="shared" si="6"/>
        <v>58</v>
      </c>
      <c r="D24" s="40">
        <f>+Results!D10</f>
        <v>620752.03236957593</v>
      </c>
      <c r="E24" s="41">
        <f t="shared" si="1"/>
        <v>493467.9141458603</v>
      </c>
      <c r="F24" s="41">
        <f t="shared" si="2"/>
        <v>567497.78434685222</v>
      </c>
      <c r="G24" s="41">
        <f t="shared" si="3"/>
        <v>620752.03236957593</v>
      </c>
      <c r="H24" s="41">
        <f t="shared" si="4"/>
        <v>687742.57368904236</v>
      </c>
      <c r="I24" s="41">
        <f t="shared" si="5"/>
        <v>761772.44389003434</v>
      </c>
      <c r="W24" s="21">
        <v>0.2</v>
      </c>
      <c r="X24" s="24">
        <f t="shared" si="0"/>
        <v>0.20000000000000004</v>
      </c>
    </row>
    <row r="25" spans="1:24" x14ac:dyDescent="0.25">
      <c r="C25" s="40">
        <f t="shared" si="6"/>
        <v>59</v>
      </c>
      <c r="D25" s="40">
        <f>+Results!D11</f>
        <v>577299.39010370558</v>
      </c>
      <c r="E25" s="41">
        <f t="shared" si="1"/>
        <v>458925.16015565005</v>
      </c>
      <c r="F25" s="41">
        <f t="shared" si="2"/>
        <v>527772.93944257253</v>
      </c>
      <c r="G25" s="41">
        <f t="shared" si="3"/>
        <v>577299.39010370558</v>
      </c>
      <c r="H25" s="41">
        <f t="shared" si="4"/>
        <v>639600.59353080939</v>
      </c>
      <c r="I25" s="41">
        <f t="shared" si="5"/>
        <v>708448.37281773193</v>
      </c>
      <c r="W25" s="21">
        <v>0.21</v>
      </c>
      <c r="X25" s="24">
        <f t="shared" si="0"/>
        <v>0.21000000000000005</v>
      </c>
    </row>
    <row r="26" spans="1:24" x14ac:dyDescent="0.25">
      <c r="C26" s="40">
        <f t="shared" si="6"/>
        <v>60</v>
      </c>
      <c r="D26" s="40">
        <f>+Results!D12</f>
        <v>536888.43279644614</v>
      </c>
      <c r="E26" s="41">
        <f t="shared" si="1"/>
        <v>426800.3989447545</v>
      </c>
      <c r="F26" s="41">
        <f t="shared" si="2"/>
        <v>490828.83368159243</v>
      </c>
      <c r="G26" s="41">
        <f t="shared" si="3"/>
        <v>536888.43279644614</v>
      </c>
      <c r="H26" s="41">
        <f t="shared" si="4"/>
        <v>594828.55198365264</v>
      </c>
      <c r="I26" s="41">
        <f t="shared" si="5"/>
        <v>658856.98672049062</v>
      </c>
      <c r="W26" s="21">
        <v>0.22</v>
      </c>
      <c r="X26" s="24">
        <f t="shared" si="0"/>
        <v>0.22000000000000006</v>
      </c>
    </row>
    <row r="27" spans="1:24" x14ac:dyDescent="0.25">
      <c r="C27" s="40">
        <f t="shared" si="6"/>
        <v>61</v>
      </c>
      <c r="D27" s="40">
        <f>+Results!D13</f>
        <v>499306.24250069488</v>
      </c>
      <c r="E27" s="41">
        <f t="shared" si="1"/>
        <v>396924.37101862166</v>
      </c>
      <c r="F27" s="41">
        <f t="shared" si="2"/>
        <v>456470.81532388093</v>
      </c>
      <c r="G27" s="41">
        <f t="shared" si="3"/>
        <v>499306.24250069488</v>
      </c>
      <c r="H27" s="41">
        <f t="shared" si="4"/>
        <v>553190.55334479699</v>
      </c>
      <c r="I27" s="41">
        <f t="shared" si="5"/>
        <v>612736.99765005626</v>
      </c>
      <c r="W27" s="21">
        <v>0.23</v>
      </c>
      <c r="X27" s="24">
        <f t="shared" si="0"/>
        <v>0.23000000000000007</v>
      </c>
    </row>
    <row r="28" spans="1:24" x14ac:dyDescent="0.25">
      <c r="C28" s="40">
        <f t="shared" si="6"/>
        <v>62</v>
      </c>
      <c r="D28" s="40">
        <f>+Results!D14</f>
        <v>464354.8055256462</v>
      </c>
      <c r="E28" s="41">
        <f t="shared" si="1"/>
        <v>369139.66504731809</v>
      </c>
      <c r="F28" s="41">
        <f t="shared" si="2"/>
        <v>424517.85825120925</v>
      </c>
      <c r="G28" s="41">
        <f t="shared" si="3"/>
        <v>464354.8055256462</v>
      </c>
      <c r="H28" s="41">
        <f t="shared" si="4"/>
        <v>514467.21461066115</v>
      </c>
      <c r="I28" s="41">
        <f t="shared" si="5"/>
        <v>569845.40781455231</v>
      </c>
      <c r="W28" s="21">
        <v>0.24</v>
      </c>
      <c r="X28" s="24">
        <f t="shared" si="0"/>
        <v>0.24000000000000007</v>
      </c>
    </row>
    <row r="29" spans="1:24" x14ac:dyDescent="0.25">
      <c r="C29" s="40">
        <f t="shared" si="6"/>
        <v>63</v>
      </c>
      <c r="D29" s="40">
        <f>+Results!D15</f>
        <v>431849.96913885092</v>
      </c>
      <c r="E29" s="41">
        <f t="shared" si="1"/>
        <v>343299.88849400583</v>
      </c>
      <c r="F29" s="41">
        <f t="shared" si="2"/>
        <v>394801.60817362455</v>
      </c>
      <c r="G29" s="41">
        <f t="shared" si="3"/>
        <v>431849.96913885092</v>
      </c>
      <c r="H29" s="41">
        <f t="shared" si="4"/>
        <v>478454.5095879148</v>
      </c>
      <c r="I29" s="41">
        <f t="shared" si="5"/>
        <v>529956.22926753352</v>
      </c>
      <c r="W29" s="21">
        <v>0.25</v>
      </c>
      <c r="X29" s="24">
        <f t="shared" si="0"/>
        <v>0.25000000000000006</v>
      </c>
    </row>
    <row r="30" spans="1:24" x14ac:dyDescent="0.25">
      <c r="C30" s="40">
        <f t="shared" si="6"/>
        <v>64</v>
      </c>
      <c r="D30" s="40">
        <f>+Results!D16</f>
        <v>401620.47129913134</v>
      </c>
      <c r="E30" s="41">
        <f t="shared" si="1"/>
        <v>319268.8962994254</v>
      </c>
      <c r="F30" s="41">
        <f t="shared" si="2"/>
        <v>367165.49560147082</v>
      </c>
      <c r="G30" s="41">
        <f t="shared" si="3"/>
        <v>401620.47129913134</v>
      </c>
      <c r="H30" s="41">
        <f t="shared" si="4"/>
        <v>444962.69391676073</v>
      </c>
      <c r="I30" s="41">
        <f t="shared" si="5"/>
        <v>492859.29321880615</v>
      </c>
      <c r="W30" s="21">
        <v>0.26</v>
      </c>
      <c r="X30" s="24">
        <f t="shared" si="0"/>
        <v>0.26000000000000006</v>
      </c>
    </row>
    <row r="31" spans="1:24" x14ac:dyDescent="0.25">
      <c r="C31" s="40">
        <f t="shared" si="6"/>
        <v>65</v>
      </c>
      <c r="D31" s="40">
        <f>+Results!D17</f>
        <v>373507.0383081921</v>
      </c>
      <c r="E31" s="41">
        <f t="shared" si="1"/>
        <v>296920.07355846558</v>
      </c>
      <c r="F31" s="41">
        <f t="shared" si="2"/>
        <v>341463.91090936784</v>
      </c>
      <c r="G31" s="41">
        <f t="shared" si="3"/>
        <v>373507.0383081921</v>
      </c>
      <c r="H31" s="41">
        <f t="shared" si="4"/>
        <v>413815.30534258747</v>
      </c>
      <c r="I31" s="41">
        <f t="shared" si="5"/>
        <v>458359.14269348967</v>
      </c>
      <c r="W31" s="21">
        <v>0.27</v>
      </c>
      <c r="X31" s="24">
        <f t="shared" si="0"/>
        <v>0.27000000000000007</v>
      </c>
    </row>
    <row r="32" spans="1:24" x14ac:dyDescent="0.25">
      <c r="W32" s="21">
        <v>0.28000000000000003</v>
      </c>
      <c r="X32" s="24">
        <f t="shared" si="0"/>
        <v>0.28000000000000008</v>
      </c>
    </row>
    <row r="33" spans="23:24" x14ac:dyDescent="0.25">
      <c r="W33" s="21">
        <v>0.28999999999999998</v>
      </c>
      <c r="X33" s="24">
        <f t="shared" si="0"/>
        <v>0.29000000000000009</v>
      </c>
    </row>
    <row r="34" spans="23:24" x14ac:dyDescent="0.25">
      <c r="W34" s="21">
        <v>0.3</v>
      </c>
      <c r="X34" s="24">
        <f t="shared" si="0"/>
        <v>0.3000000000000001</v>
      </c>
    </row>
    <row r="35" spans="23:24" x14ac:dyDescent="0.25">
      <c r="W35" s="21">
        <v>0.31</v>
      </c>
      <c r="X35" s="24">
        <f t="shared" si="0"/>
        <v>0.31000000000000011</v>
      </c>
    </row>
    <row r="36" spans="23:24" x14ac:dyDescent="0.25">
      <c r="W36" s="21">
        <v>0.32</v>
      </c>
      <c r="X36" s="24">
        <f t="shared" si="0"/>
        <v>0.32000000000000012</v>
      </c>
    </row>
    <row r="37" spans="23:24" x14ac:dyDescent="0.25">
      <c r="W37" s="21">
        <v>0.33</v>
      </c>
      <c r="X37" s="24">
        <f t="shared" si="0"/>
        <v>0.33000000000000013</v>
      </c>
    </row>
    <row r="38" spans="23:24" x14ac:dyDescent="0.25">
      <c r="W38" s="21">
        <v>0.34</v>
      </c>
      <c r="X38" s="24">
        <f t="shared" si="0"/>
        <v>0.34000000000000014</v>
      </c>
    </row>
    <row r="39" spans="23:24" x14ac:dyDescent="0.25">
      <c r="W39" s="21">
        <v>0.35</v>
      </c>
      <c r="X39" s="24">
        <f t="shared" si="0"/>
        <v>0.35000000000000014</v>
      </c>
    </row>
    <row r="40" spans="23:24" x14ac:dyDescent="0.25">
      <c r="W40" s="21">
        <v>0.36</v>
      </c>
      <c r="X40" s="24">
        <f t="shared" si="0"/>
        <v>0.36000000000000015</v>
      </c>
    </row>
    <row r="41" spans="23:24" x14ac:dyDescent="0.25">
      <c r="W41" s="21">
        <v>0.37</v>
      </c>
      <c r="X41" s="24">
        <f t="shared" si="0"/>
        <v>0.37000000000000016</v>
      </c>
    </row>
    <row r="42" spans="23:24" x14ac:dyDescent="0.25">
      <c r="W42" s="21">
        <v>0.38</v>
      </c>
      <c r="X42" s="24">
        <f t="shared" si="0"/>
        <v>0.38000000000000017</v>
      </c>
    </row>
    <row r="43" spans="23:24" x14ac:dyDescent="0.25">
      <c r="W43" s="21">
        <v>0.39</v>
      </c>
      <c r="X43" s="24">
        <f t="shared" si="0"/>
        <v>0.39000000000000018</v>
      </c>
    </row>
    <row r="44" spans="23:24" x14ac:dyDescent="0.25">
      <c r="W44" s="21">
        <v>0.4</v>
      </c>
      <c r="X44" s="24">
        <f t="shared" si="0"/>
        <v>0.40000000000000019</v>
      </c>
    </row>
    <row r="45" spans="23:24" x14ac:dyDescent="0.25">
      <c r="W45" s="21">
        <v>0.41</v>
      </c>
      <c r="X45" s="24">
        <f t="shared" si="0"/>
        <v>0.4100000000000002</v>
      </c>
    </row>
    <row r="46" spans="23:24" x14ac:dyDescent="0.25">
      <c r="W46" s="21">
        <v>0.42</v>
      </c>
      <c r="X46" s="24">
        <f t="shared" si="0"/>
        <v>0.42000000000000021</v>
      </c>
    </row>
    <row r="47" spans="23:24" x14ac:dyDescent="0.25">
      <c r="W47" s="21">
        <v>0.43</v>
      </c>
      <c r="X47" s="24">
        <f t="shared" si="0"/>
        <v>0.43000000000000022</v>
      </c>
    </row>
    <row r="48" spans="23:24" x14ac:dyDescent="0.25">
      <c r="W48" s="21">
        <v>0.44</v>
      </c>
      <c r="X48" s="24">
        <f t="shared" si="0"/>
        <v>0.44000000000000022</v>
      </c>
    </row>
    <row r="49" spans="23:24" x14ac:dyDescent="0.25">
      <c r="W49" s="21">
        <v>0.45</v>
      </c>
      <c r="X49" s="24">
        <f t="shared" si="0"/>
        <v>0.45000000000000023</v>
      </c>
    </row>
    <row r="50" spans="23:24" x14ac:dyDescent="0.25">
      <c r="W50" s="21">
        <v>0.46</v>
      </c>
      <c r="X50" s="24">
        <f t="shared" si="0"/>
        <v>0.46000000000000024</v>
      </c>
    </row>
    <row r="51" spans="23:24" x14ac:dyDescent="0.25">
      <c r="W51" s="21">
        <v>0.47</v>
      </c>
      <c r="X51" s="24">
        <f t="shared" si="0"/>
        <v>0.47000000000000025</v>
      </c>
    </row>
    <row r="52" spans="23:24" x14ac:dyDescent="0.25">
      <c r="W52" s="21">
        <v>0.48</v>
      </c>
      <c r="X52" s="24">
        <f t="shared" si="0"/>
        <v>0.48000000000000026</v>
      </c>
    </row>
    <row r="53" spans="23:24" x14ac:dyDescent="0.25">
      <c r="W53" s="21">
        <v>0.49</v>
      </c>
      <c r="X53" s="24">
        <f t="shared" si="0"/>
        <v>0.49000000000000027</v>
      </c>
    </row>
    <row r="54" spans="23:24" x14ac:dyDescent="0.25">
      <c r="W54" s="21">
        <v>0.5</v>
      </c>
      <c r="X54" s="24">
        <f t="shared" si="0"/>
        <v>0.50000000000000022</v>
      </c>
    </row>
    <row r="55" spans="23:24" x14ac:dyDescent="0.25">
      <c r="W55" s="21">
        <v>0.51</v>
      </c>
      <c r="X55" s="24">
        <f t="shared" si="0"/>
        <v>0.51000000000000023</v>
      </c>
    </row>
    <row r="56" spans="23:24" x14ac:dyDescent="0.25">
      <c r="W56" s="21">
        <v>0.52</v>
      </c>
      <c r="X56" s="24">
        <f t="shared" si="0"/>
        <v>0.52000000000000024</v>
      </c>
    </row>
    <row r="57" spans="23:24" x14ac:dyDescent="0.25">
      <c r="W57" s="21">
        <v>0.53</v>
      </c>
      <c r="X57" s="24">
        <f t="shared" si="0"/>
        <v>0.53000000000000025</v>
      </c>
    </row>
    <row r="58" spans="23:24" x14ac:dyDescent="0.25">
      <c r="W58" s="21">
        <v>0.54</v>
      </c>
      <c r="X58" s="24">
        <f t="shared" si="0"/>
        <v>0.54000000000000026</v>
      </c>
    </row>
    <row r="59" spans="23:24" x14ac:dyDescent="0.25">
      <c r="W59" s="21">
        <v>0.55000000000000004</v>
      </c>
      <c r="X59" s="24">
        <f t="shared" si="0"/>
        <v>0.55000000000000027</v>
      </c>
    </row>
    <row r="60" spans="23:24" x14ac:dyDescent="0.25">
      <c r="W60" s="21">
        <v>0.56000000000000005</v>
      </c>
      <c r="X60" s="24">
        <f t="shared" si="0"/>
        <v>0.56000000000000028</v>
      </c>
    </row>
    <row r="61" spans="23:24" x14ac:dyDescent="0.25">
      <c r="W61" s="21">
        <v>0.56999999999999995</v>
      </c>
      <c r="X61" s="24">
        <f t="shared" si="0"/>
        <v>0.57000000000000028</v>
      </c>
    </row>
    <row r="62" spans="23:24" x14ac:dyDescent="0.25">
      <c r="W62" s="21">
        <v>0.57999999999999996</v>
      </c>
      <c r="X62" s="24">
        <f t="shared" si="0"/>
        <v>0.58000000000000029</v>
      </c>
    </row>
    <row r="63" spans="23:24" x14ac:dyDescent="0.25">
      <c r="W63" s="21">
        <v>0.59</v>
      </c>
      <c r="X63" s="24">
        <f t="shared" si="0"/>
        <v>0.5900000000000003</v>
      </c>
    </row>
    <row r="64" spans="23:24" x14ac:dyDescent="0.25">
      <c r="W64" s="21">
        <v>0.6</v>
      </c>
      <c r="X64" s="24">
        <f t="shared" si="0"/>
        <v>0.60000000000000031</v>
      </c>
    </row>
    <row r="65" spans="23:24" x14ac:dyDescent="0.25">
      <c r="W65" s="21">
        <v>0.61</v>
      </c>
      <c r="X65" s="24">
        <f t="shared" si="0"/>
        <v>0.61000000000000032</v>
      </c>
    </row>
    <row r="66" spans="23:24" x14ac:dyDescent="0.25">
      <c r="W66" s="21">
        <v>0.62</v>
      </c>
      <c r="X66" s="24">
        <f t="shared" si="0"/>
        <v>0.62000000000000033</v>
      </c>
    </row>
    <row r="67" spans="23:24" x14ac:dyDescent="0.25">
      <c r="W67" s="21">
        <v>0.63</v>
      </c>
      <c r="X67" s="24">
        <f t="shared" si="0"/>
        <v>0.63000000000000034</v>
      </c>
    </row>
    <row r="68" spans="23:24" x14ac:dyDescent="0.25">
      <c r="W68" s="21">
        <v>0.64</v>
      </c>
      <c r="X68" s="24">
        <f t="shared" si="0"/>
        <v>0.64000000000000035</v>
      </c>
    </row>
    <row r="69" spans="23:24" x14ac:dyDescent="0.25">
      <c r="W69" s="21">
        <v>0.65</v>
      </c>
      <c r="X69" s="24">
        <f t="shared" si="0"/>
        <v>0.65000000000000036</v>
      </c>
    </row>
    <row r="70" spans="23:24" x14ac:dyDescent="0.25">
      <c r="W70" s="21">
        <v>0.66</v>
      </c>
      <c r="X70" s="24">
        <f t="shared" si="0"/>
        <v>0.66000000000000036</v>
      </c>
    </row>
    <row r="71" spans="23:24" x14ac:dyDescent="0.25">
      <c r="W71" s="21">
        <v>0.67</v>
      </c>
      <c r="X71" s="24">
        <f t="shared" si="0"/>
        <v>0.67000000000000037</v>
      </c>
    </row>
    <row r="72" spans="23:24" x14ac:dyDescent="0.25">
      <c r="W72" s="21">
        <v>0.68</v>
      </c>
      <c r="X72" s="24">
        <f t="shared" ref="X72:X104" si="7">+X71+0.01</f>
        <v>0.68000000000000038</v>
      </c>
    </row>
    <row r="73" spans="23:24" x14ac:dyDescent="0.25">
      <c r="W73" s="21">
        <v>0.69</v>
      </c>
      <c r="X73" s="24">
        <f t="shared" si="7"/>
        <v>0.69000000000000039</v>
      </c>
    </row>
    <row r="74" spans="23:24" x14ac:dyDescent="0.25">
      <c r="W74" s="21">
        <v>0.7</v>
      </c>
      <c r="X74" s="24">
        <f t="shared" si="7"/>
        <v>0.7000000000000004</v>
      </c>
    </row>
    <row r="75" spans="23:24" x14ac:dyDescent="0.25">
      <c r="W75" s="21">
        <v>0.71</v>
      </c>
      <c r="X75" s="24">
        <f t="shared" si="7"/>
        <v>0.71000000000000041</v>
      </c>
    </row>
    <row r="76" spans="23:24" x14ac:dyDescent="0.25">
      <c r="W76" s="21">
        <v>0.72</v>
      </c>
      <c r="X76" s="24">
        <f t="shared" si="7"/>
        <v>0.72000000000000042</v>
      </c>
    </row>
    <row r="77" spans="23:24" x14ac:dyDescent="0.25">
      <c r="W77" s="21">
        <v>0.73</v>
      </c>
      <c r="X77" s="24">
        <f t="shared" si="7"/>
        <v>0.73000000000000043</v>
      </c>
    </row>
    <row r="78" spans="23:24" x14ac:dyDescent="0.25">
      <c r="W78" s="21">
        <v>0.74</v>
      </c>
      <c r="X78" s="24">
        <f t="shared" si="7"/>
        <v>0.74000000000000044</v>
      </c>
    </row>
    <row r="79" spans="23:24" x14ac:dyDescent="0.25">
      <c r="W79" s="21">
        <v>0.75</v>
      </c>
      <c r="X79" s="24">
        <f t="shared" si="7"/>
        <v>0.75000000000000044</v>
      </c>
    </row>
    <row r="80" spans="23:24" x14ac:dyDescent="0.25">
      <c r="W80" s="21">
        <v>0.76</v>
      </c>
      <c r="X80" s="24">
        <f t="shared" si="7"/>
        <v>0.76000000000000045</v>
      </c>
    </row>
    <row r="81" spans="23:24" x14ac:dyDescent="0.25">
      <c r="W81" s="21">
        <v>0.77</v>
      </c>
      <c r="X81" s="24">
        <f t="shared" si="7"/>
        <v>0.77000000000000046</v>
      </c>
    </row>
    <row r="82" spans="23:24" x14ac:dyDescent="0.25">
      <c r="W82" s="21">
        <v>0.78</v>
      </c>
      <c r="X82" s="24">
        <f t="shared" si="7"/>
        <v>0.78000000000000047</v>
      </c>
    </row>
    <row r="83" spans="23:24" x14ac:dyDescent="0.25">
      <c r="W83" s="21">
        <v>0.79</v>
      </c>
      <c r="X83" s="24">
        <f t="shared" si="7"/>
        <v>0.79000000000000048</v>
      </c>
    </row>
    <row r="84" spans="23:24" x14ac:dyDescent="0.25">
      <c r="W84" s="21">
        <v>0.8</v>
      </c>
      <c r="X84" s="24">
        <f t="shared" si="7"/>
        <v>0.80000000000000049</v>
      </c>
    </row>
    <row r="85" spans="23:24" x14ac:dyDescent="0.25">
      <c r="W85" s="21">
        <v>0.81000000000000105</v>
      </c>
      <c r="X85" s="24">
        <f t="shared" si="7"/>
        <v>0.8100000000000005</v>
      </c>
    </row>
    <row r="86" spans="23:24" x14ac:dyDescent="0.25">
      <c r="W86" s="21">
        <v>0.82000000000000095</v>
      </c>
      <c r="X86" s="24">
        <f t="shared" si="7"/>
        <v>0.82000000000000051</v>
      </c>
    </row>
    <row r="87" spans="23:24" x14ac:dyDescent="0.25">
      <c r="W87" s="21">
        <v>0.83000000000000096</v>
      </c>
      <c r="X87" s="24">
        <f t="shared" si="7"/>
        <v>0.83000000000000052</v>
      </c>
    </row>
    <row r="88" spans="23:24" x14ac:dyDescent="0.25">
      <c r="W88" s="21">
        <v>0.84000000000000097</v>
      </c>
      <c r="X88" s="24">
        <f t="shared" si="7"/>
        <v>0.84000000000000052</v>
      </c>
    </row>
    <row r="89" spans="23:24" x14ac:dyDescent="0.25">
      <c r="W89" s="21">
        <v>0.85000000000000098</v>
      </c>
      <c r="X89" s="24">
        <f t="shared" si="7"/>
        <v>0.85000000000000053</v>
      </c>
    </row>
    <row r="90" spans="23:24" x14ac:dyDescent="0.25">
      <c r="W90" s="21">
        <v>0.86000000000000099</v>
      </c>
      <c r="X90" s="24">
        <f t="shared" si="7"/>
        <v>0.86000000000000054</v>
      </c>
    </row>
    <row r="91" spans="23:24" x14ac:dyDescent="0.25">
      <c r="W91" s="21">
        <v>0.87000000000000099</v>
      </c>
      <c r="X91" s="24">
        <f t="shared" si="7"/>
        <v>0.87000000000000055</v>
      </c>
    </row>
    <row r="92" spans="23:24" x14ac:dyDescent="0.25">
      <c r="W92" s="21">
        <v>0.880000000000001</v>
      </c>
      <c r="X92" s="24">
        <f t="shared" si="7"/>
        <v>0.88000000000000056</v>
      </c>
    </row>
    <row r="93" spans="23:24" x14ac:dyDescent="0.25">
      <c r="W93" s="21">
        <v>0.89000000000000101</v>
      </c>
      <c r="X93" s="24">
        <f t="shared" si="7"/>
        <v>0.89000000000000057</v>
      </c>
    </row>
    <row r="94" spans="23:24" x14ac:dyDescent="0.25">
      <c r="W94" s="21">
        <v>0.90000000000000102</v>
      </c>
      <c r="X94" s="24">
        <f t="shared" si="7"/>
        <v>0.90000000000000058</v>
      </c>
    </row>
    <row r="95" spans="23:24" x14ac:dyDescent="0.25">
      <c r="W95" s="21">
        <v>0.91000000000000103</v>
      </c>
      <c r="X95" s="24">
        <f t="shared" si="7"/>
        <v>0.91000000000000059</v>
      </c>
    </row>
    <row r="96" spans="23:24" x14ac:dyDescent="0.25">
      <c r="W96" s="21">
        <v>0.92000000000000104</v>
      </c>
      <c r="X96" s="24">
        <f t="shared" si="7"/>
        <v>0.9200000000000006</v>
      </c>
    </row>
    <row r="97" spans="23:24" x14ac:dyDescent="0.25">
      <c r="W97" s="21">
        <v>0.93000000000000105</v>
      </c>
      <c r="X97" s="24">
        <f t="shared" si="7"/>
        <v>0.9300000000000006</v>
      </c>
    </row>
    <row r="98" spans="23:24" x14ac:dyDescent="0.25">
      <c r="W98" s="21">
        <v>0.94000000000000095</v>
      </c>
      <c r="X98" s="24">
        <f t="shared" si="7"/>
        <v>0.94000000000000061</v>
      </c>
    </row>
    <row r="99" spans="23:24" x14ac:dyDescent="0.25">
      <c r="W99" s="21">
        <v>0.95000000000000095</v>
      </c>
      <c r="X99" s="24">
        <f t="shared" si="7"/>
        <v>0.95000000000000062</v>
      </c>
    </row>
    <row r="100" spans="23:24" x14ac:dyDescent="0.25">
      <c r="W100" s="21">
        <v>0.96000000000000096</v>
      </c>
      <c r="X100" s="24">
        <f t="shared" si="7"/>
        <v>0.96000000000000063</v>
      </c>
    </row>
    <row r="101" spans="23:24" x14ac:dyDescent="0.25">
      <c r="W101" s="21">
        <v>0.97000000000000097</v>
      </c>
      <c r="X101" s="24">
        <f t="shared" si="7"/>
        <v>0.97000000000000064</v>
      </c>
    </row>
    <row r="102" spans="23:24" x14ac:dyDescent="0.25">
      <c r="W102" s="21">
        <v>0.98000000000000098</v>
      </c>
      <c r="X102" s="24">
        <f t="shared" si="7"/>
        <v>0.98000000000000065</v>
      </c>
    </row>
    <row r="103" spans="23:24" x14ac:dyDescent="0.25">
      <c r="W103" s="21">
        <v>0.99000000000000099</v>
      </c>
      <c r="X103" s="24">
        <f t="shared" si="7"/>
        <v>0.99000000000000066</v>
      </c>
    </row>
    <row r="104" spans="23:24" x14ac:dyDescent="0.25">
      <c r="W104" s="21">
        <v>1</v>
      </c>
      <c r="X104" s="24">
        <f t="shared" si="7"/>
        <v>1.0000000000000007</v>
      </c>
    </row>
    <row r="106" spans="23:24" x14ac:dyDescent="0.25">
      <c r="W106" s="1" t="s">
        <v>17</v>
      </c>
      <c r="X106" s="23" t="s">
        <v>357</v>
      </c>
    </row>
    <row r="107" spans="23:24" x14ac:dyDescent="0.25">
      <c r="W107" s="1">
        <v>17</v>
      </c>
      <c r="X107" s="24">
        <f>CHOOSE(W107,X4,X5,X6,X7,X8,X9,X10,X11,X12,X13,X14,X15,X16,X17,X18,X19,X20,X21,X22,X23,X24,X25,X26,X27,X28,X29,X30,X31,X32,X33,X34,X35,X36,X37,X38,X39,X40,X41,X42,X43,X44,X45,X46,X47,X48,X49,X50,X51,X52,X53,X54,X55,X56,X57,X58,X59,X60,X61,X62,X63,X64,X65,X66,X67,X68,X69,X70,X71,X72,X73,X74,X75,X76,X77,X78,X79,X80,X81,X82,X83,X84,X85,X86,X87,X88,X89,X90,X91,X92,X93,X94,X95,X96,X97,X98,X99,X100,X101,X102,X103,X104)</f>
        <v>0.16</v>
      </c>
    </row>
  </sheetData>
  <mergeCells count="1">
    <mergeCell ref="C4:I4"/>
  </mergeCells>
  <hyperlinks>
    <hyperlink ref="A7" location="Home!A1" display="Home" xr:uid="{00000000-0004-0000-0600-000000000000}"/>
    <hyperlink ref="A11" location="Population!A1" display="Population" xr:uid="{00000000-0004-0000-0600-000001000000}"/>
    <hyperlink ref="A13" location="Costs!A1" display="Costs" xr:uid="{00000000-0004-0000-0600-000002000000}"/>
    <hyperlink ref="A15" location="'Resource Use'!A1" display="Resource Use" xr:uid="{00000000-0004-0000-0600-000003000000}"/>
    <hyperlink ref="A17" location="Results!A1" display="Results" xr:uid="{00000000-0004-0000-0600-000004000000}"/>
    <hyperlink ref="A19" location="'Determinist analysis'!A1" display="Deterministic analysis" xr:uid="{00000000-0004-0000-0600-000005000000}"/>
    <hyperlink ref="A9" location="Description!A1" display="Description" xr:uid="{00000000-0004-0000-0600-000006000000}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Drop Down 1">
              <controlPr defaultSize="0" autoLine="0" autoPict="0">
                <anchor moveWithCells="1">
                  <from>
                    <xdr:col>3</xdr:col>
                    <xdr:colOff>638175</xdr:colOff>
                    <xdr:row>4</xdr:row>
                    <xdr:rowOff>152400</xdr:rowOff>
                  </from>
                  <to>
                    <xdr:col>4</xdr:col>
                    <xdr:colOff>180975</xdr:colOff>
                    <xdr:row>6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25"/>
  <sheetViews>
    <sheetView workbookViewId="0">
      <selection activeCell="H33" sqref="H33"/>
    </sheetView>
  </sheetViews>
  <sheetFormatPr defaultColWidth="10.875" defaultRowHeight="15" x14ac:dyDescent="0.25"/>
  <cols>
    <col min="1" max="1" width="10.875" style="16"/>
    <col min="2" max="2" width="15.125" style="16" bestFit="1" customWidth="1"/>
    <col min="3" max="16384" width="10.875" style="16"/>
  </cols>
  <sheetData>
    <row r="1" spans="1:6" x14ac:dyDescent="0.25">
      <c r="A1" s="15" t="s">
        <v>56</v>
      </c>
      <c r="B1" s="15" t="s">
        <v>57</v>
      </c>
      <c r="E1" s="16" t="s">
        <v>18</v>
      </c>
      <c r="F1" s="16">
        <f>SUMIFS($B$2:$B$300,$A$2:$A$300,E1)</f>
        <v>5364023</v>
      </c>
    </row>
    <row r="2" spans="1:6" x14ac:dyDescent="0.25">
      <c r="A2" s="16" t="s">
        <v>58</v>
      </c>
      <c r="B2" s="16">
        <v>626290</v>
      </c>
      <c r="E2" s="16" t="s">
        <v>19</v>
      </c>
      <c r="F2" s="16">
        <f t="shared" ref="F2:F27" si="0">SUMIFS($B$2:$B$300,$A$2:$A$300,E2)</f>
        <v>6984494</v>
      </c>
    </row>
    <row r="3" spans="1:6" x14ac:dyDescent="0.25">
      <c r="A3" s="16" t="s">
        <v>59</v>
      </c>
      <c r="B3" s="16">
        <v>33955796</v>
      </c>
      <c r="E3" s="16" t="s">
        <v>20</v>
      </c>
      <c r="F3" s="16">
        <f t="shared" si="0"/>
        <v>1405952</v>
      </c>
    </row>
    <row r="4" spans="1:6" x14ac:dyDescent="0.25">
      <c r="A4" s="16" t="s">
        <v>60</v>
      </c>
      <c r="B4" s="16">
        <v>780342</v>
      </c>
      <c r="E4" s="16" t="s">
        <v>21</v>
      </c>
      <c r="F4" s="16">
        <f t="shared" si="0"/>
        <v>1847314</v>
      </c>
    </row>
    <row r="5" spans="1:6" x14ac:dyDescent="0.25">
      <c r="A5" s="16" t="s">
        <v>61</v>
      </c>
      <c r="E5" s="16" t="s">
        <v>22</v>
      </c>
      <c r="F5" s="16">
        <f t="shared" si="0"/>
        <v>622305</v>
      </c>
    </row>
    <row r="6" spans="1:6" x14ac:dyDescent="0.25">
      <c r="A6" s="16" t="s">
        <v>62</v>
      </c>
      <c r="B6" s="16">
        <v>35916</v>
      </c>
      <c r="E6" s="16" t="s">
        <v>23</v>
      </c>
      <c r="F6" s="16">
        <f t="shared" si="0"/>
        <v>5540404</v>
      </c>
    </row>
    <row r="7" spans="1:6" x14ac:dyDescent="0.25">
      <c r="A7" s="16" t="s">
        <v>63</v>
      </c>
      <c r="B7" s="16">
        <v>909215</v>
      </c>
      <c r="E7" s="16" t="s">
        <v>24</v>
      </c>
      <c r="F7" s="16">
        <f t="shared" si="0"/>
        <v>3497498</v>
      </c>
    </row>
    <row r="8" spans="1:6" x14ac:dyDescent="0.25">
      <c r="A8" s="16" t="s">
        <v>64</v>
      </c>
      <c r="B8" s="16">
        <v>14443</v>
      </c>
      <c r="E8" s="16" t="s">
        <v>25</v>
      </c>
      <c r="F8" s="16">
        <f t="shared" si="0"/>
        <v>726233</v>
      </c>
    </row>
    <row r="9" spans="1:6" x14ac:dyDescent="0.25">
      <c r="A9" s="16" t="s">
        <v>65</v>
      </c>
      <c r="B9" s="16">
        <v>50329</v>
      </c>
      <c r="E9" s="16" t="s">
        <v>26</v>
      </c>
      <c r="F9" s="16">
        <f t="shared" si="0"/>
        <v>3035338</v>
      </c>
    </row>
    <row r="10" spans="1:6" x14ac:dyDescent="0.25">
      <c r="A10" s="16" t="s">
        <v>66</v>
      </c>
      <c r="B10" s="16">
        <v>12801115</v>
      </c>
      <c r="E10" s="16" t="s">
        <v>27</v>
      </c>
      <c r="F10" s="16">
        <f t="shared" si="0"/>
        <v>37453873</v>
      </c>
    </row>
    <row r="11" spans="1:6" x14ac:dyDescent="0.25">
      <c r="A11" s="16" t="s">
        <v>67</v>
      </c>
      <c r="B11" s="16">
        <v>33529</v>
      </c>
      <c r="E11" s="16" t="s">
        <v>28</v>
      </c>
      <c r="F11" s="16">
        <f t="shared" si="0"/>
        <v>52779769</v>
      </c>
    </row>
    <row r="12" spans="1:6" x14ac:dyDescent="0.25">
      <c r="A12" s="16" t="s">
        <v>68</v>
      </c>
      <c r="B12" s="16">
        <v>115144</v>
      </c>
      <c r="E12" s="16" t="s">
        <v>29</v>
      </c>
      <c r="F12" s="16">
        <f t="shared" si="0"/>
        <v>5791280</v>
      </c>
    </row>
    <row r="13" spans="1:6" x14ac:dyDescent="0.25">
      <c r="A13" s="16" t="s">
        <v>69</v>
      </c>
      <c r="B13" s="16">
        <v>1118087202</v>
      </c>
      <c r="E13" s="16" t="s">
        <v>30</v>
      </c>
      <c r="F13" s="16">
        <f t="shared" si="0"/>
        <v>8901553</v>
      </c>
    </row>
    <row r="14" spans="1:6" x14ac:dyDescent="0.25">
      <c r="A14" s="16" t="s">
        <v>70</v>
      </c>
      <c r="B14" s="16">
        <v>4501444</v>
      </c>
      <c r="E14" s="16" t="s">
        <v>31</v>
      </c>
      <c r="F14" s="16">
        <f t="shared" si="0"/>
        <v>2349207</v>
      </c>
    </row>
    <row r="15" spans="1:6" x14ac:dyDescent="0.25">
      <c r="A15" s="16" t="s">
        <v>18</v>
      </c>
      <c r="B15" s="16">
        <v>5364023</v>
      </c>
      <c r="E15" s="16" t="s">
        <v>32</v>
      </c>
      <c r="F15" s="16">
        <f t="shared" si="0"/>
        <v>35817595</v>
      </c>
    </row>
    <row r="16" spans="1:6" x14ac:dyDescent="0.25">
      <c r="A16" s="16" t="s">
        <v>71</v>
      </c>
      <c r="B16" s="16">
        <v>2367094</v>
      </c>
      <c r="E16" s="16" t="s">
        <v>33</v>
      </c>
      <c r="F16" s="16">
        <f t="shared" si="0"/>
        <v>780302</v>
      </c>
    </row>
    <row r="17" spans="1:6" x14ac:dyDescent="0.25">
      <c r="A17" s="16" t="s">
        <v>72</v>
      </c>
      <c r="B17" s="16">
        <v>55037</v>
      </c>
      <c r="E17" s="16" t="s">
        <v>34</v>
      </c>
      <c r="F17" s="16">
        <f t="shared" si="0"/>
        <v>1695789</v>
      </c>
    </row>
    <row r="18" spans="1:6" x14ac:dyDescent="0.25">
      <c r="A18" s="16" t="s">
        <v>73</v>
      </c>
      <c r="B18" s="16">
        <v>1775070</v>
      </c>
      <c r="E18" s="16" t="s">
        <v>35</v>
      </c>
      <c r="F18" s="16">
        <f t="shared" si="0"/>
        <v>356322</v>
      </c>
    </row>
    <row r="19" spans="1:6" x14ac:dyDescent="0.25">
      <c r="A19" s="16" t="s">
        <v>74</v>
      </c>
      <c r="B19" s="16">
        <v>9992849</v>
      </c>
      <c r="E19" s="16" t="s">
        <v>36</v>
      </c>
      <c r="F19" s="16">
        <f t="shared" si="0"/>
        <v>528592</v>
      </c>
    </row>
    <row r="20" spans="1:6" x14ac:dyDescent="0.25">
      <c r="A20" s="16" t="s">
        <v>75</v>
      </c>
      <c r="B20" s="16">
        <v>139354</v>
      </c>
      <c r="E20" s="16" t="s">
        <v>37</v>
      </c>
      <c r="F20" s="16">
        <f t="shared" si="0"/>
        <v>9490528</v>
      </c>
    </row>
    <row r="21" spans="1:6" x14ac:dyDescent="0.25">
      <c r="A21" s="16" t="s">
        <v>76</v>
      </c>
      <c r="B21" s="16">
        <v>710922</v>
      </c>
      <c r="E21" s="16" t="s">
        <v>38</v>
      </c>
      <c r="F21" s="16">
        <f t="shared" si="0"/>
        <v>21174546</v>
      </c>
    </row>
    <row r="22" spans="1:6" x14ac:dyDescent="0.25">
      <c r="A22" s="16" t="s">
        <v>19</v>
      </c>
      <c r="B22" s="16">
        <v>6984494</v>
      </c>
      <c r="E22" s="16" t="s">
        <v>39</v>
      </c>
      <c r="F22" s="16">
        <f t="shared" si="0"/>
        <v>5895544</v>
      </c>
    </row>
    <row r="23" spans="1:6" x14ac:dyDescent="0.25">
      <c r="A23" s="16" t="s">
        <v>77</v>
      </c>
      <c r="B23" s="16">
        <v>76787</v>
      </c>
      <c r="E23" s="16" t="s">
        <v>40</v>
      </c>
      <c r="F23" s="16">
        <f t="shared" si="0"/>
        <v>7926291</v>
      </c>
    </row>
    <row r="24" spans="1:6" x14ac:dyDescent="0.25">
      <c r="A24" s="16" t="s">
        <v>78</v>
      </c>
      <c r="B24" s="16">
        <v>12934</v>
      </c>
      <c r="E24" s="16" t="s">
        <v>41</v>
      </c>
      <c r="F24" s="16">
        <f t="shared" si="0"/>
        <v>2664782</v>
      </c>
    </row>
    <row r="25" spans="1:6" x14ac:dyDescent="0.25">
      <c r="A25" s="16" t="s">
        <v>79</v>
      </c>
      <c r="B25" s="16">
        <v>71114</v>
      </c>
      <c r="E25" s="16" t="s">
        <v>42</v>
      </c>
      <c r="F25" s="16">
        <f t="shared" si="0"/>
        <v>1114155</v>
      </c>
    </row>
    <row r="26" spans="1:6" x14ac:dyDescent="0.25">
      <c r="A26" s="16" t="s">
        <v>80</v>
      </c>
      <c r="B26" s="16">
        <v>482716</v>
      </c>
      <c r="E26" s="16" t="s">
        <v>43</v>
      </c>
      <c r="F26" s="16">
        <f t="shared" si="0"/>
        <v>27607247</v>
      </c>
    </row>
    <row r="27" spans="1:6" x14ac:dyDescent="0.25">
      <c r="A27" s="16" t="s">
        <v>81</v>
      </c>
      <c r="B27" s="16">
        <v>1767803</v>
      </c>
      <c r="E27" s="16" t="s">
        <v>44</v>
      </c>
      <c r="F27" s="16">
        <f t="shared" si="0"/>
        <v>5297353</v>
      </c>
    </row>
    <row r="28" spans="1:6" x14ac:dyDescent="0.25">
      <c r="A28" s="16" t="s">
        <v>82</v>
      </c>
      <c r="B28" s="16">
        <v>232706</v>
      </c>
    </row>
    <row r="29" spans="1:6" x14ac:dyDescent="0.25">
      <c r="A29" s="16" t="s">
        <v>83</v>
      </c>
      <c r="B29" s="16">
        <v>142864</v>
      </c>
    </row>
    <row r="30" spans="1:6" x14ac:dyDescent="0.25">
      <c r="A30" s="16" t="s">
        <v>84</v>
      </c>
      <c r="B30" s="16">
        <v>68919860</v>
      </c>
    </row>
    <row r="31" spans="1:6" x14ac:dyDescent="0.25">
      <c r="A31" s="16" t="s">
        <v>85</v>
      </c>
      <c r="B31" s="16">
        <v>16302</v>
      </c>
    </row>
    <row r="32" spans="1:6" x14ac:dyDescent="0.25">
      <c r="A32" s="16" t="s">
        <v>86</v>
      </c>
      <c r="B32" s="16">
        <v>52775</v>
      </c>
    </row>
    <row r="33" spans="1:2" x14ac:dyDescent="0.25">
      <c r="A33" s="16" t="s">
        <v>20</v>
      </c>
      <c r="B33" s="16">
        <v>1405952</v>
      </c>
    </row>
    <row r="34" spans="1:2" x14ac:dyDescent="0.25">
      <c r="A34" s="16" t="s">
        <v>87</v>
      </c>
    </row>
    <row r="35" spans="1:2" x14ac:dyDescent="0.25">
      <c r="A35" s="16" t="s">
        <v>88</v>
      </c>
    </row>
    <row r="36" spans="1:2" x14ac:dyDescent="0.25">
      <c r="A36" s="16" t="s">
        <v>89</v>
      </c>
      <c r="B36" s="16">
        <v>4723944</v>
      </c>
    </row>
    <row r="37" spans="1:2" x14ac:dyDescent="0.25">
      <c r="A37" s="16" t="s">
        <v>90</v>
      </c>
      <c r="B37" s="16">
        <v>75215</v>
      </c>
    </row>
    <row r="38" spans="1:2" x14ac:dyDescent="0.25">
      <c r="A38" s="16" t="s">
        <v>91</v>
      </c>
      <c r="B38" s="16">
        <v>24522064</v>
      </c>
    </row>
    <row r="39" spans="1:2" x14ac:dyDescent="0.25">
      <c r="A39" s="16" t="s">
        <v>92</v>
      </c>
      <c r="B39" s="16">
        <v>24382</v>
      </c>
    </row>
    <row r="40" spans="1:2" x14ac:dyDescent="0.25">
      <c r="A40" s="16" t="s">
        <v>93</v>
      </c>
      <c r="B40" s="16">
        <v>83221</v>
      </c>
    </row>
    <row r="41" spans="1:2" x14ac:dyDescent="0.25">
      <c r="A41" s="16" t="s">
        <v>94</v>
      </c>
      <c r="B41" s="16">
        <v>18408</v>
      </c>
    </row>
    <row r="42" spans="1:2" x14ac:dyDescent="0.25">
      <c r="A42" s="16" t="s">
        <v>95</v>
      </c>
    </row>
    <row r="43" spans="1:2" x14ac:dyDescent="0.25">
      <c r="A43" s="16" t="s">
        <v>96</v>
      </c>
      <c r="B43" s="16">
        <v>18894037</v>
      </c>
    </row>
    <row r="44" spans="1:2" x14ac:dyDescent="0.25">
      <c r="A44" s="16" t="s">
        <v>97</v>
      </c>
      <c r="B44" s="16">
        <v>704826000</v>
      </c>
    </row>
    <row r="45" spans="1:2" x14ac:dyDescent="0.25">
      <c r="A45" s="16" t="s">
        <v>98</v>
      </c>
      <c r="B45" s="16">
        <v>10382967</v>
      </c>
    </row>
    <row r="46" spans="1:2" x14ac:dyDescent="0.25">
      <c r="A46" s="16" t="s">
        <v>99</v>
      </c>
      <c r="B46" s="16">
        <v>83907</v>
      </c>
    </row>
    <row r="47" spans="1:2" x14ac:dyDescent="0.25">
      <c r="A47" s="16" t="s">
        <v>100</v>
      </c>
    </row>
    <row r="48" spans="1:2" x14ac:dyDescent="0.25">
      <c r="A48" s="16" t="s">
        <v>101</v>
      </c>
      <c r="B48" s="16">
        <v>8291</v>
      </c>
    </row>
    <row r="49" spans="1:2" x14ac:dyDescent="0.25">
      <c r="A49" s="16" t="s">
        <v>102</v>
      </c>
      <c r="B49" s="16">
        <v>1658685</v>
      </c>
    </row>
    <row r="50" spans="1:2" x14ac:dyDescent="0.25">
      <c r="A50" s="16" t="s">
        <v>103</v>
      </c>
      <c r="B50" s="16">
        <v>543663</v>
      </c>
    </row>
    <row r="51" spans="1:2" x14ac:dyDescent="0.25">
      <c r="A51" s="16" t="s">
        <v>21</v>
      </c>
      <c r="B51" s="16">
        <v>1847314</v>
      </c>
    </row>
    <row r="52" spans="1:2" x14ac:dyDescent="0.25">
      <c r="A52" s="16" t="s">
        <v>104</v>
      </c>
      <c r="B52" s="16">
        <v>2037745</v>
      </c>
    </row>
    <row r="53" spans="1:2" x14ac:dyDescent="0.25">
      <c r="A53" s="16" t="s">
        <v>105</v>
      </c>
      <c r="B53" s="16">
        <v>155208</v>
      </c>
    </row>
    <row r="54" spans="1:2" x14ac:dyDescent="0.25">
      <c r="A54" s="16" t="s">
        <v>22</v>
      </c>
      <c r="B54" s="16">
        <v>622305</v>
      </c>
    </row>
    <row r="55" spans="1:2" x14ac:dyDescent="0.25">
      <c r="A55" s="16" t="s">
        <v>23</v>
      </c>
      <c r="B55" s="16">
        <v>5540404</v>
      </c>
    </row>
    <row r="56" spans="1:2" x14ac:dyDescent="0.25">
      <c r="A56" s="16" t="s">
        <v>106</v>
      </c>
      <c r="B56" s="16">
        <v>23197</v>
      </c>
    </row>
    <row r="57" spans="1:2" x14ac:dyDescent="0.25">
      <c r="A57" s="16" t="s">
        <v>24</v>
      </c>
      <c r="B57" s="16">
        <v>3497498</v>
      </c>
    </row>
    <row r="58" spans="1:2" x14ac:dyDescent="0.25">
      <c r="A58" s="16" t="s">
        <v>107</v>
      </c>
      <c r="B58" s="16">
        <v>21357</v>
      </c>
    </row>
    <row r="59" spans="1:2" x14ac:dyDescent="0.25">
      <c r="A59" s="16" t="s">
        <v>108</v>
      </c>
      <c r="B59" s="16">
        <v>37126</v>
      </c>
    </row>
    <row r="60" spans="1:2" x14ac:dyDescent="0.25">
      <c r="A60" s="16" t="s">
        <v>109</v>
      </c>
      <c r="B60" s="16">
        <v>4456516</v>
      </c>
    </row>
    <row r="61" spans="1:2" x14ac:dyDescent="0.25">
      <c r="A61" s="16" t="s">
        <v>110</v>
      </c>
      <c r="B61" s="16">
        <v>2387698</v>
      </c>
    </row>
    <row r="62" spans="1:2" x14ac:dyDescent="0.25">
      <c r="A62" s="16" t="s">
        <v>111</v>
      </c>
      <c r="B62" s="16">
        <v>2698411</v>
      </c>
    </row>
    <row r="63" spans="1:2" x14ac:dyDescent="0.25">
      <c r="A63" s="16" t="s">
        <v>112</v>
      </c>
      <c r="B63" s="16">
        <v>2015408</v>
      </c>
    </row>
    <row r="64" spans="1:2" x14ac:dyDescent="0.25">
      <c r="A64" s="16" t="s">
        <v>113</v>
      </c>
      <c r="B64" s="16">
        <v>224503</v>
      </c>
    </row>
    <row r="65" spans="1:2" x14ac:dyDescent="0.25">
      <c r="A65" s="16" t="s">
        <v>114</v>
      </c>
    </row>
    <row r="66" spans="1:2" x14ac:dyDescent="0.25">
      <c r="A66" s="16" t="s">
        <v>25</v>
      </c>
      <c r="B66" s="16">
        <v>726233</v>
      </c>
    </row>
    <row r="67" spans="1:2" x14ac:dyDescent="0.25">
      <c r="A67" s="16" t="s">
        <v>115</v>
      </c>
    </row>
    <row r="68" spans="1:2" x14ac:dyDescent="0.25">
      <c r="A68" s="16" t="s">
        <v>116</v>
      </c>
      <c r="B68" s="16">
        <v>1838569</v>
      </c>
    </row>
    <row r="69" spans="1:2" x14ac:dyDescent="0.25">
      <c r="A69" s="16" t="s">
        <v>117</v>
      </c>
      <c r="B69" s="16">
        <v>369030843</v>
      </c>
    </row>
    <row r="70" spans="1:2" x14ac:dyDescent="0.25">
      <c r="A70" s="16" t="s">
        <v>118</v>
      </c>
      <c r="B70" s="16">
        <v>256648289</v>
      </c>
    </row>
    <row r="71" spans="1:2" x14ac:dyDescent="0.25">
      <c r="A71" s="16" t="s">
        <v>119</v>
      </c>
      <c r="B71" s="16">
        <v>32593</v>
      </c>
    </row>
    <row r="72" spans="1:2" x14ac:dyDescent="0.25">
      <c r="A72" s="16" t="s">
        <v>120</v>
      </c>
      <c r="B72" s="16">
        <v>136247</v>
      </c>
    </row>
    <row r="73" spans="1:2" x14ac:dyDescent="0.25">
      <c r="A73" s="16" t="s">
        <v>26</v>
      </c>
      <c r="B73" s="16">
        <v>3035338</v>
      </c>
    </row>
    <row r="74" spans="1:2" x14ac:dyDescent="0.25">
      <c r="A74" s="16" t="s">
        <v>27</v>
      </c>
      <c r="B74" s="16">
        <v>37453873</v>
      </c>
    </row>
    <row r="75" spans="1:2" x14ac:dyDescent="0.25">
      <c r="A75" s="16" t="s">
        <v>121</v>
      </c>
      <c r="B75" s="16">
        <v>103252</v>
      </c>
    </row>
    <row r="76" spans="1:2" x14ac:dyDescent="0.25">
      <c r="A76" s="16" t="s">
        <v>122</v>
      </c>
      <c r="B76" s="16">
        <v>22524</v>
      </c>
    </row>
    <row r="77" spans="1:2" x14ac:dyDescent="0.25">
      <c r="A77" s="16" t="s">
        <v>123</v>
      </c>
      <c r="B77" s="16">
        <v>38490</v>
      </c>
    </row>
    <row r="78" spans="1:2" x14ac:dyDescent="0.25">
      <c r="A78" s="16" t="s">
        <v>124</v>
      </c>
      <c r="B78" s="16">
        <v>182909</v>
      </c>
    </row>
    <row r="79" spans="1:2" x14ac:dyDescent="0.25">
      <c r="A79" s="16" t="s">
        <v>28</v>
      </c>
      <c r="B79" s="16">
        <v>52779769</v>
      </c>
    </row>
    <row r="80" spans="1:2" x14ac:dyDescent="0.25">
      <c r="A80" s="16" t="s">
        <v>125</v>
      </c>
      <c r="B80" s="16">
        <v>1228216</v>
      </c>
    </row>
    <row r="81" spans="1:2" x14ac:dyDescent="0.25">
      <c r="A81" s="16" t="s">
        <v>126</v>
      </c>
      <c r="B81" s="16">
        <v>77717</v>
      </c>
    </row>
    <row r="82" spans="1:2" x14ac:dyDescent="0.25">
      <c r="A82" s="16" t="s">
        <v>29</v>
      </c>
      <c r="B82" s="16">
        <v>5791280</v>
      </c>
    </row>
    <row r="83" spans="1:2" x14ac:dyDescent="0.25">
      <c r="A83" s="16" t="s">
        <v>127</v>
      </c>
      <c r="B83" s="16">
        <v>23911</v>
      </c>
    </row>
    <row r="84" spans="1:2" x14ac:dyDescent="0.25">
      <c r="A84" s="16" t="s">
        <v>128</v>
      </c>
      <c r="B84" s="16">
        <v>25544</v>
      </c>
    </row>
    <row r="85" spans="1:2" x14ac:dyDescent="0.25">
      <c r="A85" s="16" t="s">
        <v>129</v>
      </c>
      <c r="B85" s="16">
        <v>540944</v>
      </c>
    </row>
    <row r="86" spans="1:2" x14ac:dyDescent="0.25">
      <c r="A86" s="16" t="s">
        <v>130</v>
      </c>
      <c r="B86" s="16">
        <v>67253</v>
      </c>
    </row>
    <row r="87" spans="1:2" x14ac:dyDescent="0.25">
      <c r="A87" s="16" t="s">
        <v>131</v>
      </c>
      <c r="B87" s="16">
        <v>352700</v>
      </c>
    </row>
    <row r="88" spans="1:2" x14ac:dyDescent="0.25">
      <c r="A88" s="16" t="s">
        <v>132</v>
      </c>
    </row>
    <row r="89" spans="1:2" x14ac:dyDescent="0.25">
      <c r="A89" s="16" t="s">
        <v>133</v>
      </c>
      <c r="B89" s="16">
        <v>274625</v>
      </c>
    </row>
    <row r="90" spans="1:2" x14ac:dyDescent="0.25">
      <c r="A90" s="16" t="s">
        <v>134</v>
      </c>
    </row>
    <row r="91" spans="1:2" x14ac:dyDescent="0.25">
      <c r="A91" s="16" t="s">
        <v>135</v>
      </c>
      <c r="B91" s="16">
        <v>317257</v>
      </c>
    </row>
    <row r="92" spans="1:2" x14ac:dyDescent="0.25">
      <c r="A92" s="16" t="s">
        <v>136</v>
      </c>
      <c r="B92" s="16">
        <v>2466461</v>
      </c>
    </row>
    <row r="93" spans="1:2" x14ac:dyDescent="0.25">
      <c r="A93" s="16" t="s">
        <v>30</v>
      </c>
      <c r="B93" s="16">
        <v>8901553</v>
      </c>
    </row>
    <row r="94" spans="1:2" x14ac:dyDescent="0.25">
      <c r="A94" s="16" t="s">
        <v>137</v>
      </c>
      <c r="B94" s="16">
        <v>258829</v>
      </c>
    </row>
    <row r="95" spans="1:2" x14ac:dyDescent="0.25">
      <c r="A95" s="16" t="s">
        <v>138</v>
      </c>
      <c r="B95" s="16">
        <v>215678166</v>
      </c>
    </row>
    <row r="96" spans="1:2" x14ac:dyDescent="0.25">
      <c r="A96" s="16" t="s">
        <v>139</v>
      </c>
      <c r="B96" s="16">
        <v>27619247</v>
      </c>
    </row>
    <row r="97" spans="1:2" x14ac:dyDescent="0.25">
      <c r="A97" s="16" t="s">
        <v>140</v>
      </c>
    </row>
    <row r="98" spans="1:2" x14ac:dyDescent="0.25">
      <c r="A98" s="16" t="s">
        <v>141</v>
      </c>
      <c r="B98" s="16">
        <v>3141577</v>
      </c>
    </row>
    <row r="99" spans="1:2" x14ac:dyDescent="0.25">
      <c r="A99" s="16" t="s">
        <v>142</v>
      </c>
      <c r="B99" s="16">
        <v>582537</v>
      </c>
    </row>
    <row r="100" spans="1:2" x14ac:dyDescent="0.25">
      <c r="A100" s="16" t="s">
        <v>31</v>
      </c>
      <c r="B100" s="16">
        <v>2349207</v>
      </c>
    </row>
    <row r="101" spans="1:2" x14ac:dyDescent="0.25">
      <c r="A101" s="16" t="s">
        <v>143</v>
      </c>
      <c r="B101" s="16">
        <v>89719</v>
      </c>
    </row>
    <row r="102" spans="1:2" x14ac:dyDescent="0.25">
      <c r="A102" s="16" t="s">
        <v>144</v>
      </c>
      <c r="B102" s="16">
        <v>10587948</v>
      </c>
    </row>
    <row r="103" spans="1:2" x14ac:dyDescent="0.25">
      <c r="A103" s="16" t="s">
        <v>32</v>
      </c>
      <c r="B103" s="16">
        <v>35817595</v>
      </c>
    </row>
    <row r="104" spans="1:2" x14ac:dyDescent="0.25">
      <c r="A104" s="16" t="s">
        <v>145</v>
      </c>
      <c r="B104" s="16">
        <v>177883</v>
      </c>
    </row>
    <row r="105" spans="1:2" x14ac:dyDescent="0.25">
      <c r="A105" s="16" t="s">
        <v>146</v>
      </c>
      <c r="B105" s="16">
        <v>14775865</v>
      </c>
    </row>
    <row r="106" spans="1:2" x14ac:dyDescent="0.25">
      <c r="A106" s="16" t="s">
        <v>147</v>
      </c>
      <c r="B106" s="16">
        <v>105714</v>
      </c>
    </row>
    <row r="107" spans="1:2" x14ac:dyDescent="0.25">
      <c r="A107" s="16" t="s">
        <v>148</v>
      </c>
      <c r="B107" s="16">
        <v>1904235</v>
      </c>
    </row>
    <row r="108" spans="1:2" x14ac:dyDescent="0.25">
      <c r="A108" s="16" t="s">
        <v>149</v>
      </c>
      <c r="B108" s="16">
        <v>3241998</v>
      </c>
    </row>
    <row r="109" spans="1:2" x14ac:dyDescent="0.25">
      <c r="A109" s="16" t="s">
        <v>150</v>
      </c>
      <c r="B109" s="16">
        <v>971714</v>
      </c>
    </row>
    <row r="110" spans="1:2" x14ac:dyDescent="0.25">
      <c r="A110" s="16" t="s">
        <v>151</v>
      </c>
    </row>
    <row r="111" spans="1:2" x14ac:dyDescent="0.25">
      <c r="A111" s="16" t="s">
        <v>152</v>
      </c>
      <c r="B111" s="16">
        <v>69686</v>
      </c>
    </row>
    <row r="112" spans="1:2" x14ac:dyDescent="0.25">
      <c r="A112" s="16" t="s">
        <v>153</v>
      </c>
    </row>
    <row r="113" spans="1:2" x14ac:dyDescent="0.25">
      <c r="A113" s="16" t="s">
        <v>154</v>
      </c>
    </row>
    <row r="114" spans="1:2" x14ac:dyDescent="0.25">
      <c r="A114" s="16" t="s">
        <v>155</v>
      </c>
      <c r="B114" s="16">
        <v>914014</v>
      </c>
    </row>
    <row r="115" spans="1:2" x14ac:dyDescent="0.25">
      <c r="A115" s="16" t="s">
        <v>33</v>
      </c>
      <c r="B115" s="16">
        <v>780302</v>
      </c>
    </row>
    <row r="116" spans="1:2" x14ac:dyDescent="0.25">
      <c r="A116" s="16" t="s">
        <v>156</v>
      </c>
      <c r="B116" s="16">
        <v>819518</v>
      </c>
    </row>
    <row r="117" spans="1:2" x14ac:dyDescent="0.25">
      <c r="A117" s="16" t="s">
        <v>157</v>
      </c>
      <c r="B117" s="16">
        <v>36759</v>
      </c>
    </row>
    <row r="118" spans="1:2" x14ac:dyDescent="0.25">
      <c r="A118" s="16" t="s">
        <v>158</v>
      </c>
      <c r="B118" s="16">
        <v>56144</v>
      </c>
    </row>
    <row r="119" spans="1:2" x14ac:dyDescent="0.25">
      <c r="A119" s="16" t="s">
        <v>159</v>
      </c>
      <c r="B119" s="16">
        <v>243891</v>
      </c>
    </row>
    <row r="120" spans="1:2" x14ac:dyDescent="0.25">
      <c r="A120" s="16" t="s">
        <v>160</v>
      </c>
      <c r="B120" s="16">
        <v>21281</v>
      </c>
    </row>
    <row r="121" spans="1:2" x14ac:dyDescent="0.25">
      <c r="A121" s="16" t="s">
        <v>34</v>
      </c>
      <c r="B121" s="16">
        <v>1695789</v>
      </c>
    </row>
    <row r="122" spans="1:2" x14ac:dyDescent="0.25">
      <c r="A122" s="16" t="s">
        <v>35</v>
      </c>
      <c r="B122" s="16">
        <v>356322</v>
      </c>
    </row>
    <row r="123" spans="1:2" x14ac:dyDescent="0.25">
      <c r="A123" s="16" t="s">
        <v>161</v>
      </c>
      <c r="B123" s="16">
        <v>182969</v>
      </c>
    </row>
    <row r="124" spans="1:2" x14ac:dyDescent="0.25">
      <c r="A124" s="16" t="s">
        <v>162</v>
      </c>
      <c r="B124" s="16">
        <v>36640</v>
      </c>
    </row>
    <row r="125" spans="1:2" x14ac:dyDescent="0.25">
      <c r="A125" s="16" t="s">
        <v>163</v>
      </c>
      <c r="B125" s="16">
        <v>356134</v>
      </c>
    </row>
    <row r="126" spans="1:2" x14ac:dyDescent="0.25">
      <c r="A126" s="16" t="s">
        <v>164</v>
      </c>
      <c r="B126" s="16">
        <v>3212873</v>
      </c>
    </row>
    <row r="127" spans="1:2" x14ac:dyDescent="0.25">
      <c r="A127" s="16" t="s">
        <v>165</v>
      </c>
      <c r="B127" s="16">
        <v>477916</v>
      </c>
    </row>
    <row r="128" spans="1:2" x14ac:dyDescent="0.25">
      <c r="A128" s="16" t="s">
        <v>166</v>
      </c>
      <c r="B128" s="16">
        <v>127042</v>
      </c>
    </row>
    <row r="129" spans="1:2" x14ac:dyDescent="0.25">
      <c r="A129" s="16" t="s">
        <v>36</v>
      </c>
      <c r="B129" s="16">
        <v>528592</v>
      </c>
    </row>
    <row r="130" spans="1:2" x14ac:dyDescent="0.25">
      <c r="A130" s="16" t="s">
        <v>167</v>
      </c>
    </row>
    <row r="131" spans="1:2" x14ac:dyDescent="0.25">
      <c r="A131" s="16" t="s">
        <v>168</v>
      </c>
      <c r="B131" s="16">
        <v>37331</v>
      </c>
    </row>
    <row r="132" spans="1:2" x14ac:dyDescent="0.25">
      <c r="A132" s="16" t="s">
        <v>169</v>
      </c>
      <c r="B132" s="16">
        <v>400801</v>
      </c>
    </row>
    <row r="133" spans="1:2" x14ac:dyDescent="0.25">
      <c r="A133" s="16" t="s">
        <v>170</v>
      </c>
      <c r="B133" s="16">
        <v>31811931</v>
      </c>
    </row>
    <row r="134" spans="1:2" x14ac:dyDescent="0.25">
      <c r="A134" s="16" t="s">
        <v>171</v>
      </c>
    </row>
    <row r="135" spans="1:2" x14ac:dyDescent="0.25">
      <c r="A135" s="16" t="s">
        <v>172</v>
      </c>
      <c r="B135" s="16">
        <v>439049</v>
      </c>
    </row>
    <row r="136" spans="1:2" x14ac:dyDescent="0.25">
      <c r="A136" s="16" t="s">
        <v>173</v>
      </c>
      <c r="B136" s="16">
        <v>30029</v>
      </c>
    </row>
    <row r="137" spans="1:2" x14ac:dyDescent="0.25">
      <c r="A137" s="16" t="s">
        <v>174</v>
      </c>
      <c r="B137" s="16">
        <v>3234111</v>
      </c>
    </row>
    <row r="138" spans="1:2" x14ac:dyDescent="0.25">
      <c r="A138" s="16" t="s">
        <v>175</v>
      </c>
      <c r="B138" s="16">
        <v>223627</v>
      </c>
    </row>
    <row r="139" spans="1:2" x14ac:dyDescent="0.25">
      <c r="A139" s="16" t="s">
        <v>176</v>
      </c>
      <c r="B139" s="16">
        <v>2522</v>
      </c>
    </row>
    <row r="140" spans="1:2" x14ac:dyDescent="0.25">
      <c r="A140" s="16" t="s">
        <v>177</v>
      </c>
      <c r="B140" s="16">
        <v>14614443</v>
      </c>
    </row>
    <row r="141" spans="1:2" x14ac:dyDescent="0.25">
      <c r="A141" s="16" t="s">
        <v>178</v>
      </c>
      <c r="B141" s="16">
        <v>394312</v>
      </c>
    </row>
    <row r="142" spans="1:2" x14ac:dyDescent="0.25">
      <c r="A142" s="16" t="s">
        <v>179</v>
      </c>
    </row>
    <row r="143" spans="1:2" x14ac:dyDescent="0.25">
      <c r="A143" s="16" t="s">
        <v>180</v>
      </c>
      <c r="B143" s="16">
        <v>80585</v>
      </c>
    </row>
    <row r="144" spans="1:2" x14ac:dyDescent="0.25">
      <c r="A144" s="16" t="s">
        <v>181</v>
      </c>
      <c r="B144" s="16">
        <v>2827243</v>
      </c>
    </row>
    <row r="145" spans="1:2" x14ac:dyDescent="0.25">
      <c r="A145" s="16" t="s">
        <v>37</v>
      </c>
      <c r="B145" s="16">
        <v>9490528</v>
      </c>
    </row>
    <row r="146" spans="1:2" x14ac:dyDescent="0.25">
      <c r="A146" s="16" t="s">
        <v>182</v>
      </c>
      <c r="B146" s="16">
        <v>92594</v>
      </c>
    </row>
    <row r="147" spans="1:2" x14ac:dyDescent="0.25">
      <c r="A147" s="16" t="s">
        <v>183</v>
      </c>
      <c r="B147" s="16">
        <v>668115</v>
      </c>
    </row>
    <row r="148" spans="1:2" x14ac:dyDescent="0.25">
      <c r="A148" s="16" t="s">
        <v>184</v>
      </c>
      <c r="B148" s="16">
        <v>167500</v>
      </c>
    </row>
    <row r="149" spans="1:2" x14ac:dyDescent="0.25">
      <c r="A149" s="16" t="s">
        <v>185</v>
      </c>
      <c r="B149" s="16">
        <v>159525</v>
      </c>
    </row>
    <row r="150" spans="1:2" x14ac:dyDescent="0.25">
      <c r="A150" s="16" t="s">
        <v>186</v>
      </c>
      <c r="B150" s="16">
        <v>2051228</v>
      </c>
    </row>
    <row r="151" spans="1:2" x14ac:dyDescent="0.25">
      <c r="A151" s="16" t="s">
        <v>187</v>
      </c>
      <c r="B151" s="16">
        <v>366846271</v>
      </c>
    </row>
    <row r="152" spans="1:2" x14ac:dyDescent="0.25">
      <c r="A152" s="16" t="s">
        <v>188</v>
      </c>
      <c r="B152" s="16">
        <v>331034</v>
      </c>
    </row>
    <row r="153" spans="1:2" x14ac:dyDescent="0.25">
      <c r="A153" s="16" t="s">
        <v>189</v>
      </c>
      <c r="B153" s="16">
        <v>129743</v>
      </c>
    </row>
    <row r="154" spans="1:2" x14ac:dyDescent="0.25">
      <c r="A154" s="16" t="s">
        <v>190</v>
      </c>
      <c r="B154" s="16">
        <v>2695466</v>
      </c>
    </row>
    <row r="155" spans="1:2" x14ac:dyDescent="0.25">
      <c r="A155" s="16" t="s">
        <v>191</v>
      </c>
      <c r="B155" s="16">
        <v>5618825</v>
      </c>
    </row>
    <row r="156" spans="1:2" x14ac:dyDescent="0.25">
      <c r="A156" s="16" t="s">
        <v>192</v>
      </c>
    </row>
    <row r="157" spans="1:2" x14ac:dyDescent="0.25">
      <c r="A157" s="16" t="s">
        <v>193</v>
      </c>
      <c r="B157" s="16">
        <v>7648481</v>
      </c>
    </row>
    <row r="158" spans="1:2" x14ac:dyDescent="0.25">
      <c r="A158" s="16" t="s">
        <v>194</v>
      </c>
      <c r="B158" s="16">
        <v>540908</v>
      </c>
    </row>
    <row r="159" spans="1:2" x14ac:dyDescent="0.25">
      <c r="A159" s="16" t="s">
        <v>195</v>
      </c>
      <c r="B159" s="16">
        <v>1080005</v>
      </c>
    </row>
    <row r="160" spans="1:2" x14ac:dyDescent="0.25">
      <c r="A160" s="16" t="s">
        <v>196</v>
      </c>
    </row>
    <row r="161" spans="1:2" x14ac:dyDescent="0.25">
      <c r="A161" s="16" t="s">
        <v>197</v>
      </c>
      <c r="B161" s="16">
        <v>407644</v>
      </c>
    </row>
    <row r="162" spans="1:2" x14ac:dyDescent="0.25">
      <c r="A162" s="16" t="s">
        <v>198</v>
      </c>
      <c r="B162" s="16">
        <v>4033357</v>
      </c>
    </row>
    <row r="163" spans="1:2" x14ac:dyDescent="0.25">
      <c r="A163" s="16" t="s">
        <v>199</v>
      </c>
      <c r="B163" s="16">
        <v>5180721</v>
      </c>
    </row>
    <row r="164" spans="1:2" x14ac:dyDescent="0.25">
      <c r="A164" s="16" t="s">
        <v>38</v>
      </c>
      <c r="B164" s="16">
        <v>21174546</v>
      </c>
    </row>
    <row r="165" spans="1:2" x14ac:dyDescent="0.25">
      <c r="A165" s="16" t="s">
        <v>39</v>
      </c>
      <c r="B165" s="16">
        <v>5895544</v>
      </c>
    </row>
    <row r="166" spans="1:2" x14ac:dyDescent="0.25">
      <c r="A166" s="16" t="s">
        <v>200</v>
      </c>
      <c r="B166" s="16">
        <v>2600344</v>
      </c>
    </row>
    <row r="167" spans="1:2" x14ac:dyDescent="0.25">
      <c r="A167" s="16" t="s">
        <v>40</v>
      </c>
      <c r="B167" s="16">
        <v>7926291</v>
      </c>
    </row>
    <row r="168" spans="1:2" x14ac:dyDescent="0.25">
      <c r="A168" s="16" t="s">
        <v>201</v>
      </c>
      <c r="B168" s="16">
        <v>29792970</v>
      </c>
    </row>
    <row r="169" spans="1:2" x14ac:dyDescent="0.25">
      <c r="A169" s="16" t="s">
        <v>202</v>
      </c>
    </row>
    <row r="170" spans="1:2" x14ac:dyDescent="0.25">
      <c r="A170" s="16" t="s">
        <v>203</v>
      </c>
      <c r="B170" s="16">
        <v>35408</v>
      </c>
    </row>
    <row r="171" spans="1:2" x14ac:dyDescent="0.25">
      <c r="A171" s="16" t="s">
        <v>204</v>
      </c>
      <c r="B171" s="16">
        <v>47542</v>
      </c>
    </row>
    <row r="172" spans="1:2" x14ac:dyDescent="0.25">
      <c r="A172" s="16" t="s">
        <v>205</v>
      </c>
      <c r="B172" s="16">
        <v>20768</v>
      </c>
    </row>
    <row r="173" spans="1:2" x14ac:dyDescent="0.25">
      <c r="A173" s="16" t="s">
        <v>206</v>
      </c>
      <c r="B173" s="16">
        <v>32627</v>
      </c>
    </row>
    <row r="174" spans="1:2" x14ac:dyDescent="0.25">
      <c r="A174" s="16" t="s">
        <v>207</v>
      </c>
      <c r="B174" s="16">
        <v>42935</v>
      </c>
    </row>
    <row r="175" spans="1:2" x14ac:dyDescent="0.25">
      <c r="A175" s="16" t="s">
        <v>208</v>
      </c>
      <c r="B175" s="16">
        <v>18888</v>
      </c>
    </row>
    <row r="176" spans="1:2" x14ac:dyDescent="0.25">
      <c r="A176" s="16" t="s">
        <v>209</v>
      </c>
      <c r="B176" s="16">
        <v>14512466</v>
      </c>
    </row>
    <row r="177" spans="1:2" x14ac:dyDescent="0.25">
      <c r="A177" s="16" t="s">
        <v>210</v>
      </c>
      <c r="B177" s="16">
        <v>522575</v>
      </c>
    </row>
    <row r="178" spans="1:2" x14ac:dyDescent="0.25">
      <c r="A178" s="16" t="s">
        <v>211</v>
      </c>
      <c r="B178" s="16">
        <v>4668282</v>
      </c>
    </row>
    <row r="179" spans="1:2" x14ac:dyDescent="0.25">
      <c r="A179" s="16" t="s">
        <v>212</v>
      </c>
      <c r="B179" s="16">
        <v>134475</v>
      </c>
    </row>
    <row r="180" spans="1:2" x14ac:dyDescent="0.25">
      <c r="A180" s="16" t="s">
        <v>213</v>
      </c>
      <c r="B180" s="16">
        <v>79762</v>
      </c>
    </row>
    <row r="181" spans="1:2" x14ac:dyDescent="0.25">
      <c r="A181" s="16" t="s">
        <v>214</v>
      </c>
      <c r="B181" s="16">
        <v>4047651</v>
      </c>
    </row>
    <row r="182" spans="1:2" x14ac:dyDescent="0.25">
      <c r="A182" s="16" t="s">
        <v>215</v>
      </c>
      <c r="B182" s="16">
        <v>29055</v>
      </c>
    </row>
    <row r="183" spans="1:2" x14ac:dyDescent="0.25">
      <c r="A183" s="16" t="s">
        <v>41</v>
      </c>
      <c r="B183" s="16">
        <v>2664782</v>
      </c>
    </row>
    <row r="184" spans="1:2" x14ac:dyDescent="0.25">
      <c r="A184" s="16" t="s">
        <v>42</v>
      </c>
      <c r="B184" s="16">
        <v>1114155</v>
      </c>
    </row>
    <row r="185" spans="1:2" x14ac:dyDescent="0.25">
      <c r="A185" s="16" t="s">
        <v>216</v>
      </c>
      <c r="B185" s="16">
        <v>16581</v>
      </c>
    </row>
    <row r="186" spans="1:2" x14ac:dyDescent="0.25">
      <c r="A186" s="16" t="s">
        <v>217</v>
      </c>
      <c r="B186" s="16">
        <v>137618</v>
      </c>
    </row>
    <row r="187" spans="1:2" x14ac:dyDescent="0.25">
      <c r="A187" s="16" t="s">
        <v>218</v>
      </c>
      <c r="B187" s="16">
        <v>1117569</v>
      </c>
    </row>
    <row r="188" spans="1:2" x14ac:dyDescent="0.25">
      <c r="A188" s="16" t="s">
        <v>219</v>
      </c>
      <c r="B188" s="16">
        <v>123186337</v>
      </c>
    </row>
    <row r="189" spans="1:2" x14ac:dyDescent="0.25">
      <c r="A189" s="16" t="s">
        <v>220</v>
      </c>
      <c r="B189" s="16">
        <v>8962721</v>
      </c>
    </row>
    <row r="190" spans="1:2" x14ac:dyDescent="0.25">
      <c r="A190" s="16" t="s">
        <v>221</v>
      </c>
      <c r="B190" s="16">
        <v>9744</v>
      </c>
    </row>
    <row r="191" spans="1:2" x14ac:dyDescent="0.25">
      <c r="A191" s="16" t="s">
        <v>43</v>
      </c>
      <c r="B191" s="16">
        <v>27607247</v>
      </c>
    </row>
    <row r="192" spans="1:2" x14ac:dyDescent="0.25">
      <c r="A192" s="16" t="s">
        <v>222</v>
      </c>
      <c r="B192" s="16">
        <v>2117653</v>
      </c>
    </row>
    <row r="193" spans="1:2" x14ac:dyDescent="0.25">
      <c r="A193" s="16" t="s">
        <v>223</v>
      </c>
      <c r="B193" s="16">
        <v>402114</v>
      </c>
    </row>
    <row r="194" spans="1:2" x14ac:dyDescent="0.25">
      <c r="A194" s="16" t="s">
        <v>224</v>
      </c>
      <c r="B194" s="16">
        <v>87508</v>
      </c>
    </row>
    <row r="195" spans="1:2" x14ac:dyDescent="0.25">
      <c r="A195" s="16" t="s">
        <v>44</v>
      </c>
      <c r="B195" s="16">
        <v>5297353</v>
      </c>
    </row>
    <row r="196" spans="1:2" x14ac:dyDescent="0.25">
      <c r="A196" s="16" t="s">
        <v>225</v>
      </c>
      <c r="B196" s="16">
        <v>4802652</v>
      </c>
    </row>
    <row r="197" spans="1:2" x14ac:dyDescent="0.25">
      <c r="A197" s="16" t="s">
        <v>226</v>
      </c>
      <c r="B197" s="16">
        <v>24781</v>
      </c>
    </row>
    <row r="198" spans="1:2" x14ac:dyDescent="0.25">
      <c r="A198" s="16" t="s">
        <v>227</v>
      </c>
      <c r="B198" s="16">
        <v>562029</v>
      </c>
    </row>
    <row r="199" spans="1:2" x14ac:dyDescent="0.25">
      <c r="A199" s="16" t="s">
        <v>228</v>
      </c>
      <c r="B199" s="16">
        <v>74403</v>
      </c>
    </row>
    <row r="200" spans="1:2" x14ac:dyDescent="0.25">
      <c r="A200" s="16" t="s">
        <v>229</v>
      </c>
    </row>
    <row r="201" spans="1:2" x14ac:dyDescent="0.25">
      <c r="A201" s="16" t="s">
        <v>230</v>
      </c>
      <c r="B201" s="16">
        <v>3609882</v>
      </c>
    </row>
    <row r="202" spans="1:2" x14ac:dyDescent="0.25">
      <c r="A202" s="16" t="s">
        <v>231</v>
      </c>
      <c r="B202" s="16">
        <v>63753</v>
      </c>
    </row>
    <row r="203" spans="1:2" x14ac:dyDescent="0.25">
      <c r="A203" s="16" t="s">
        <v>232</v>
      </c>
      <c r="B203" s="16">
        <v>311938</v>
      </c>
    </row>
    <row r="204" spans="1:2" x14ac:dyDescent="0.25">
      <c r="A204" s="16" t="s">
        <v>233</v>
      </c>
      <c r="B204" s="16">
        <v>29980</v>
      </c>
    </row>
    <row r="205" spans="1:2" x14ac:dyDescent="0.25">
      <c r="A205" s="16" t="s">
        <v>234</v>
      </c>
      <c r="B205" s="16">
        <v>105065</v>
      </c>
    </row>
    <row r="206" spans="1:2" x14ac:dyDescent="0.25">
      <c r="A206" s="16" t="s">
        <v>235</v>
      </c>
      <c r="B206" s="16">
        <v>983647</v>
      </c>
    </row>
    <row r="207" spans="1:2" x14ac:dyDescent="0.25">
      <c r="A207" s="16" t="s">
        <v>236</v>
      </c>
      <c r="B207" s="16">
        <v>29657059</v>
      </c>
    </row>
    <row r="208" spans="1:2" x14ac:dyDescent="0.25">
      <c r="A208" s="16" t="s">
        <v>237</v>
      </c>
      <c r="B208" s="16">
        <v>36170</v>
      </c>
    </row>
    <row r="209" spans="1:2" x14ac:dyDescent="0.25">
      <c r="A209" s="16" t="s">
        <v>238</v>
      </c>
      <c r="B209" s="16">
        <v>2400</v>
      </c>
    </row>
    <row r="210" spans="1:2" x14ac:dyDescent="0.25">
      <c r="A210" s="16" t="s">
        <v>239</v>
      </c>
      <c r="B210" s="16">
        <v>672395</v>
      </c>
    </row>
    <row r="211" spans="1:2" x14ac:dyDescent="0.25">
      <c r="A211" s="16" t="s">
        <v>240</v>
      </c>
      <c r="B211" s="16">
        <v>1214883</v>
      </c>
    </row>
    <row r="212" spans="1:2" x14ac:dyDescent="0.25">
      <c r="A212" s="16" t="s">
        <v>241</v>
      </c>
      <c r="B212" s="16">
        <v>13066261</v>
      </c>
    </row>
    <row r="213" spans="1:2" x14ac:dyDescent="0.25">
      <c r="A213" s="16" t="s">
        <v>242</v>
      </c>
      <c r="B213" s="16">
        <v>65658949</v>
      </c>
    </row>
    <row r="214" spans="1:2" x14ac:dyDescent="0.25">
      <c r="A214" s="16" t="s">
        <v>243</v>
      </c>
      <c r="B214" s="16">
        <v>296912892</v>
      </c>
    </row>
    <row r="215" spans="1:2" x14ac:dyDescent="0.25">
      <c r="A215" s="16" t="s">
        <v>244</v>
      </c>
      <c r="B215" s="16">
        <v>2909316</v>
      </c>
    </row>
    <row r="216" spans="1:2" x14ac:dyDescent="0.25">
      <c r="A216" s="16" t="s">
        <v>245</v>
      </c>
      <c r="B216" s="16">
        <v>2136423</v>
      </c>
    </row>
    <row r="217" spans="1:2" x14ac:dyDescent="0.25">
      <c r="A217" s="16" t="s">
        <v>246</v>
      </c>
    </row>
    <row r="218" spans="1:2" x14ac:dyDescent="0.25">
      <c r="A218" s="16" t="s">
        <v>247</v>
      </c>
    </row>
    <row r="219" spans="1:2" x14ac:dyDescent="0.25">
      <c r="A219" s="16" t="s">
        <v>248</v>
      </c>
    </row>
    <row r="220" spans="1:2" x14ac:dyDescent="0.25">
      <c r="A220" s="16" t="s">
        <v>249</v>
      </c>
      <c r="B220" s="16">
        <v>1110111</v>
      </c>
    </row>
    <row r="221" spans="1:2" x14ac:dyDescent="0.25">
      <c r="A221" s="16" t="s">
        <v>250</v>
      </c>
      <c r="B221" s="16">
        <v>8365</v>
      </c>
    </row>
    <row r="222" spans="1:2" x14ac:dyDescent="0.25">
      <c r="A222" s="16" t="s">
        <v>251</v>
      </c>
      <c r="B222" s="16">
        <v>2016725274</v>
      </c>
    </row>
    <row r="223" spans="1:2" x14ac:dyDescent="0.25">
      <c r="A223" s="16" t="s">
        <v>252</v>
      </c>
      <c r="B223" s="16">
        <v>104070</v>
      </c>
    </row>
    <row r="224" spans="1:2" x14ac:dyDescent="0.25">
      <c r="A224" s="16" t="s">
        <v>253</v>
      </c>
      <c r="B224" s="16">
        <v>147115</v>
      </c>
    </row>
    <row r="225" spans="1:2" x14ac:dyDescent="0.25">
      <c r="A225" s="16" t="s">
        <v>254</v>
      </c>
      <c r="B225" s="16">
        <v>1031281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Home</vt:lpstr>
      <vt:lpstr>Description</vt:lpstr>
      <vt:lpstr>Population</vt:lpstr>
      <vt:lpstr>Costs</vt:lpstr>
      <vt:lpstr>Resource Use</vt:lpstr>
      <vt:lpstr>Results</vt:lpstr>
      <vt:lpstr>Determinist analysis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Hourani,H</cp:lastModifiedBy>
  <dcterms:created xsi:type="dcterms:W3CDTF">2021-06-07T06:21:06Z</dcterms:created>
  <dcterms:modified xsi:type="dcterms:W3CDTF">2021-07-19T10:24:55Z</dcterms:modified>
</cp:coreProperties>
</file>